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pes\Desktop\fesp\"/>
    </mc:Choice>
  </mc:AlternateContent>
  <xr:revisionPtr revIDLastSave="0" documentId="8_{3C7F0326-B874-41C3-B953-961C1601D959}" xr6:coauthVersionLast="47" xr6:coauthVersionMax="47" xr10:uidLastSave="{00000000-0000-0000-0000-000000000000}"/>
  <bookViews>
    <workbookView xWindow="43080" yWindow="-120" windowWidth="20730" windowHeight="11160" firstSheet="2" activeTab="2" xr2:uid="{648DADA6-853A-445B-8A3B-BBE0165AC45C}"/>
  </bookViews>
  <sheets>
    <sheet name="cálculo (2)" sheetId="44" state="hidden" r:id="rId1"/>
    <sheet name="Direito" sheetId="43" state="hidden" r:id="rId2"/>
    <sheet name="H.A Duração" sheetId="42" r:id="rId3"/>
    <sheet name="RESUMO DE CÁLCULO" sheetId="9" r:id="rId4"/>
    <sheet name="13º SALÁRIO 2020" sheetId="13" r:id="rId5"/>
    <sheet name="Salário 12-2020" sheetId="12" r:id="rId6"/>
    <sheet name="Pagamento 01-2021" sheetId="14" state="hidden" r:id="rId7"/>
    <sheet name="salário 01-2021  terço férias" sheetId="21" r:id="rId8"/>
    <sheet name="salário 02-2021" sheetId="15" r:id="rId9"/>
    <sheet name="salário 03-2021" sheetId="16" r:id="rId10"/>
    <sheet name="salário 04-2021" sheetId="17" r:id="rId11"/>
    <sheet name="salário 05-2021" sheetId="18" r:id="rId12"/>
    <sheet name="salário 06-2021" sheetId="19" r:id="rId13"/>
    <sheet name="salário 07-2021" sheetId="20" r:id="rId14"/>
    <sheet name="salário 08-2021" sheetId="22" r:id="rId15"/>
    <sheet name="salário 09-2021" sheetId="31" r:id="rId16"/>
    <sheet name="salário 10-2021" sheetId="32" r:id="rId17"/>
    <sheet name="salário 11-2021" sheetId="33" r:id="rId18"/>
    <sheet name="salário 12-2021" sheetId="34" r:id="rId19"/>
    <sheet name="Salário 13ª primeira parcela" sheetId="35" r:id="rId20"/>
    <sheet name="Salário 13º segunda parcela" sheetId="36" r:id="rId21"/>
    <sheet name="Salário 01-2022  terço férias" sheetId="37" r:id="rId22"/>
    <sheet name="Salário de 02-2022" sheetId="38" r:id="rId23"/>
    <sheet name="Salário de 03-2022 " sheetId="39" r:id="rId24"/>
    <sheet name="salário de 04-2022  " sheetId="40" r:id="rId25"/>
    <sheet name="dano moral " sheetId="41" state="hidden" r:id="rId26"/>
  </sheets>
  <externalReferences>
    <externalReference r:id="rId27"/>
  </externalReferences>
  <definedNames>
    <definedName name="_xlnm._FilterDatabase" localSheetId="4" hidden="1">'13º SALÁRIO 2020'!$A$4:$L$113</definedName>
    <definedName name="_xlnm._FilterDatabase" localSheetId="6" hidden="1">'Pagamento 01-2021'!$A$4:$I$105</definedName>
    <definedName name="_xlnm._FilterDatabase" localSheetId="7" hidden="1">'salário 01-2021  terço férias'!$A$4:$M$96</definedName>
    <definedName name="_xlnm._FilterDatabase" localSheetId="21" hidden="1">'Salário 01-2022  terço férias'!$A$4:$O$104</definedName>
    <definedName name="_xlnm._FilterDatabase" localSheetId="8" hidden="1">'salário 02-2021'!$A$4:$M$98</definedName>
    <definedName name="_xlnm._FilterDatabase" localSheetId="9" hidden="1">'salário 03-2021'!$A$4:$N$143</definedName>
    <definedName name="_xlnm._FilterDatabase" localSheetId="10" hidden="1">'salário 04-2021'!$A$4:$K$109</definedName>
    <definedName name="_xlnm._FilterDatabase" localSheetId="11" hidden="1">'salário 05-2021'!$A$4:$P$106</definedName>
    <definedName name="_xlnm._FilterDatabase" localSheetId="12" hidden="1">'salário 06-2021'!$A$4:$L$105</definedName>
    <definedName name="_xlnm._FilterDatabase" localSheetId="13" hidden="1">'salário 07-2021'!$A$4:$M$112</definedName>
    <definedName name="_xlnm._FilterDatabase" localSheetId="14" hidden="1">'salário 08-2021'!$A$4:$M$135</definedName>
    <definedName name="_xlnm._FilterDatabase" localSheetId="15" hidden="1">'salário 09-2021'!$A$4:$N$102</definedName>
    <definedName name="_xlnm._FilterDatabase" localSheetId="16" hidden="1">'salário 10-2021'!$A$4:$M$100</definedName>
    <definedName name="_xlnm._FilterDatabase" localSheetId="17" hidden="1">'salário 11-2021'!$A$4:$M$101</definedName>
    <definedName name="_xlnm._FilterDatabase" localSheetId="5" hidden="1">'Salário 12-2020'!$A$4:$L$100</definedName>
    <definedName name="_xlnm._FilterDatabase" localSheetId="18" hidden="1">'salário 12-2021'!$A$4:$M$98</definedName>
    <definedName name="_xlnm._FilterDatabase" localSheetId="19" hidden="1">'Salário 13ª primeira parcela'!$A$4:$M$106</definedName>
    <definedName name="_xlnm._FilterDatabase" localSheetId="20" hidden="1">'Salário 13º segunda parcela'!$A$4:$M$99</definedName>
    <definedName name="_xlnm._FilterDatabase" localSheetId="22" hidden="1">'Salário de 02-2022'!$A$4:$N$100</definedName>
    <definedName name="_xlnm._FilterDatabase" localSheetId="23" hidden="1">'Salário de 03-2022 '!$A$4:$L$93</definedName>
    <definedName name="_xlnm._FilterDatabase" localSheetId="24" hidden="1">'salário de 04-2022  '!$A$4:$N$93</definedName>
    <definedName name="_xlnm.Print_Area" localSheetId="3">'RESUMO DE CÁLCULO'!$A$2:$G$83</definedName>
    <definedName name="_xlnm.Print_Titles" localSheetId="4">'13º SALÁRIO 2020'!$1:$4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7" i="40" l="1"/>
  <c r="N71" i="40"/>
  <c r="N72" i="40"/>
  <c r="N78" i="40"/>
  <c r="N82" i="40"/>
  <c r="N83" i="40"/>
  <c r="G31" i="40"/>
  <c r="G32" i="40"/>
  <c r="G33" i="40"/>
  <c r="G34" i="40"/>
  <c r="G35" i="40"/>
  <c r="G37" i="40"/>
  <c r="G38" i="40"/>
  <c r="G39" i="40"/>
  <c r="G41" i="40"/>
  <c r="G42" i="40"/>
  <c r="G43" i="40"/>
  <c r="G44" i="40"/>
  <c r="G45" i="40"/>
  <c r="G46" i="40"/>
  <c r="G47" i="40"/>
  <c r="G48" i="40"/>
  <c r="G50" i="40"/>
  <c r="G51" i="40"/>
  <c r="G52" i="40"/>
  <c r="G53" i="40"/>
  <c r="G54" i="40"/>
  <c r="G55" i="40"/>
  <c r="G56" i="40"/>
  <c r="G57" i="40"/>
  <c r="G58" i="40"/>
  <c r="G59" i="40"/>
  <c r="G60" i="40"/>
  <c r="G61" i="40"/>
  <c r="G63" i="40"/>
  <c r="G64" i="40"/>
  <c r="G65" i="40"/>
  <c r="G66" i="40"/>
  <c r="G67" i="40"/>
  <c r="G69" i="40"/>
  <c r="G71" i="40"/>
  <c r="G72" i="40"/>
  <c r="G73" i="40"/>
  <c r="G74" i="40"/>
  <c r="G75" i="40"/>
  <c r="G76" i="40"/>
  <c r="G77" i="40"/>
  <c r="G78" i="40"/>
  <c r="G79" i="40"/>
  <c r="G80" i="40"/>
  <c r="G81" i="40"/>
  <c r="G82" i="40"/>
  <c r="G83" i="40"/>
  <c r="G84" i="40"/>
  <c r="G87" i="40"/>
  <c r="G88" i="40"/>
  <c r="G89" i="40"/>
  <c r="G90" i="40"/>
  <c r="G91" i="40"/>
  <c r="G92" i="40"/>
  <c r="G93" i="40"/>
  <c r="G30" i="40"/>
  <c r="G16" i="40"/>
  <c r="G17" i="40"/>
  <c r="G18" i="40"/>
  <c r="G19" i="40"/>
  <c r="G20" i="40"/>
  <c r="G21" i="40"/>
  <c r="G22" i="40"/>
  <c r="G25" i="40"/>
  <c r="G26" i="40"/>
  <c r="G8" i="40"/>
  <c r="G10" i="40"/>
  <c r="G11" i="40"/>
  <c r="G12" i="40"/>
  <c r="F22" i="39"/>
  <c r="L65" i="39" l="1"/>
  <c r="L69" i="39"/>
  <c r="L76" i="39"/>
  <c r="L80" i="39"/>
  <c r="L81" i="39"/>
  <c r="G30" i="39"/>
  <c r="G31" i="39"/>
  <c r="G32" i="39"/>
  <c r="G33" i="39"/>
  <c r="G34" i="39"/>
  <c r="G35" i="39"/>
  <c r="G37" i="39"/>
  <c r="G38" i="39"/>
  <c r="G39" i="39"/>
  <c r="G41" i="39"/>
  <c r="G42" i="39"/>
  <c r="G43" i="39"/>
  <c r="G44" i="39"/>
  <c r="G45" i="39"/>
  <c r="G46" i="39"/>
  <c r="G47" i="39"/>
  <c r="G48" i="39"/>
  <c r="G50" i="39"/>
  <c r="G51" i="39"/>
  <c r="G52" i="39"/>
  <c r="G53" i="39"/>
  <c r="G54" i="39"/>
  <c r="G55" i="39"/>
  <c r="G56" i="39"/>
  <c r="G57" i="39"/>
  <c r="G58" i="39"/>
  <c r="G59" i="39"/>
  <c r="G60" i="39"/>
  <c r="G61" i="39"/>
  <c r="G63" i="39"/>
  <c r="G64" i="39"/>
  <c r="G65" i="39"/>
  <c r="G66" i="39"/>
  <c r="G67" i="39"/>
  <c r="G69" i="39"/>
  <c r="G71" i="39"/>
  <c r="G72" i="39"/>
  <c r="G73" i="39"/>
  <c r="G74" i="39"/>
  <c r="G75" i="39"/>
  <c r="G76" i="39"/>
  <c r="G77" i="39"/>
  <c r="G78" i="39"/>
  <c r="G79" i="39"/>
  <c r="G80" i="39"/>
  <c r="G81" i="39"/>
  <c r="G82" i="39"/>
  <c r="G83" i="39"/>
  <c r="G84" i="39"/>
  <c r="G87" i="39"/>
  <c r="G88" i="39"/>
  <c r="G89" i="39"/>
  <c r="G90" i="39"/>
  <c r="G91" i="39"/>
  <c r="G92" i="39"/>
  <c r="G93" i="39"/>
  <c r="G29" i="39"/>
  <c r="G16" i="39"/>
  <c r="G17" i="39"/>
  <c r="G18" i="39"/>
  <c r="G19" i="39"/>
  <c r="G20" i="39"/>
  <c r="G21" i="39"/>
  <c r="G22" i="39"/>
  <c r="G24" i="39"/>
  <c r="G25" i="39"/>
  <c r="G8" i="39"/>
  <c r="G10" i="39"/>
  <c r="G11" i="39"/>
  <c r="G12" i="39"/>
  <c r="F23" i="38"/>
  <c r="G23" i="38" s="1"/>
  <c r="G32" i="38"/>
  <c r="G33" i="38"/>
  <c r="G34" i="38"/>
  <c r="G35" i="38"/>
  <c r="G36" i="38"/>
  <c r="G37" i="38"/>
  <c r="G39" i="38"/>
  <c r="G40" i="38"/>
  <c r="G41" i="38"/>
  <c r="G43" i="38"/>
  <c r="G44" i="38"/>
  <c r="G45" i="38"/>
  <c r="G46" i="38"/>
  <c r="G47" i="38"/>
  <c r="G48" i="38"/>
  <c r="G49" i="38"/>
  <c r="G50" i="38"/>
  <c r="G51" i="38"/>
  <c r="G53" i="38"/>
  <c r="G54" i="38"/>
  <c r="G55" i="38"/>
  <c r="G56" i="38"/>
  <c r="G57" i="38"/>
  <c r="G58" i="38"/>
  <c r="G59" i="38"/>
  <c r="G60" i="38"/>
  <c r="G61" i="38"/>
  <c r="G62" i="38"/>
  <c r="G63" i="38"/>
  <c r="G64" i="38"/>
  <c r="G65" i="38"/>
  <c r="G66" i="38"/>
  <c r="G67" i="38"/>
  <c r="G69" i="38"/>
  <c r="G70" i="38"/>
  <c r="G71" i="38"/>
  <c r="G72" i="38"/>
  <c r="G73" i="38"/>
  <c r="G75" i="38"/>
  <c r="G77" i="38"/>
  <c r="G78" i="38"/>
  <c r="G79" i="38"/>
  <c r="G80" i="38"/>
  <c r="G81" i="38"/>
  <c r="G82" i="38"/>
  <c r="G83" i="38"/>
  <c r="G84" i="38"/>
  <c r="G85" i="38"/>
  <c r="G86" i="38"/>
  <c r="G87" i="38"/>
  <c r="G88" i="38"/>
  <c r="G89" i="38"/>
  <c r="G90" i="38"/>
  <c r="G91" i="38"/>
  <c r="G94" i="38"/>
  <c r="G95" i="38"/>
  <c r="G96" i="38"/>
  <c r="G97" i="38"/>
  <c r="G98" i="38"/>
  <c r="G99" i="38"/>
  <c r="G100" i="38"/>
  <c r="G31" i="38"/>
  <c r="G17" i="38"/>
  <c r="G18" i="38"/>
  <c r="G19" i="38"/>
  <c r="G20" i="38"/>
  <c r="G21" i="38"/>
  <c r="G22" i="38"/>
  <c r="G25" i="38"/>
  <c r="G26" i="38"/>
  <c r="G27" i="38"/>
  <c r="G8" i="38"/>
  <c r="G9" i="38"/>
  <c r="G11" i="38"/>
  <c r="G12" i="38"/>
  <c r="G13" i="38"/>
  <c r="V20" i="44"/>
  <c r="W20" i="44" s="1"/>
  <c r="R20" i="44"/>
  <c r="S20" i="44" s="1"/>
  <c r="O20" i="44"/>
  <c r="N20" i="44"/>
  <c r="K20" i="44"/>
  <c r="J20" i="44"/>
  <c r="C20" i="44"/>
  <c r="V19" i="44"/>
  <c r="W19" i="44" s="1"/>
  <c r="S19" i="44"/>
  <c r="R19" i="44"/>
  <c r="O19" i="44"/>
  <c r="N19" i="44"/>
  <c r="J19" i="44"/>
  <c r="K19" i="44" s="1"/>
  <c r="F19" i="44"/>
  <c r="D19" i="44"/>
  <c r="G19" i="44" s="1"/>
  <c r="C19" i="44"/>
  <c r="V18" i="44"/>
  <c r="W18" i="44" s="1"/>
  <c r="S18" i="44"/>
  <c r="R18" i="44"/>
  <c r="N18" i="44"/>
  <c r="O18" i="44" s="1"/>
  <c r="J18" i="44"/>
  <c r="K18" i="44" s="1"/>
  <c r="F18" i="44"/>
  <c r="D18" i="44"/>
  <c r="C18" i="44"/>
  <c r="G18" i="44" s="1"/>
  <c r="W17" i="44"/>
  <c r="V17" i="44"/>
  <c r="S17" i="44"/>
  <c r="R17" i="44"/>
  <c r="N17" i="44"/>
  <c r="O17" i="44" s="1"/>
  <c r="Z17" i="44" s="1"/>
  <c r="AA17" i="44" s="1"/>
  <c r="J17" i="44"/>
  <c r="K17" i="44" s="1"/>
  <c r="G17" i="44"/>
  <c r="F17" i="44"/>
  <c r="D17" i="44"/>
  <c r="C17" i="44"/>
  <c r="W16" i="44"/>
  <c r="V16" i="44"/>
  <c r="R16" i="44"/>
  <c r="S16" i="44" s="1"/>
  <c r="N16" i="44"/>
  <c r="O16" i="44" s="1"/>
  <c r="J16" i="44"/>
  <c r="K16" i="44" s="1"/>
  <c r="C16" i="44"/>
  <c r="F16" i="44" s="1"/>
  <c r="W15" i="44"/>
  <c r="X15" i="44" s="1"/>
  <c r="V15" i="44"/>
  <c r="R15" i="44"/>
  <c r="S15" i="44" s="1"/>
  <c r="AB15" i="44" s="1"/>
  <c r="N15" i="44"/>
  <c r="O15" i="44" s="1"/>
  <c r="Z15" i="44" s="1"/>
  <c r="K15" i="44"/>
  <c r="J15" i="44"/>
  <c r="C15" i="44"/>
  <c r="V14" i="44"/>
  <c r="W14" i="44" s="1"/>
  <c r="R14" i="44"/>
  <c r="S14" i="44" s="1"/>
  <c r="N14" i="44"/>
  <c r="O14" i="44" s="1"/>
  <c r="K14" i="44"/>
  <c r="J14" i="44"/>
  <c r="F14" i="44"/>
  <c r="C14" i="44"/>
  <c r="D14" i="44" s="1"/>
  <c r="G14" i="44" s="1"/>
  <c r="V13" i="44"/>
  <c r="W13" i="44" s="1"/>
  <c r="R13" i="44"/>
  <c r="S13" i="44" s="1"/>
  <c r="O13" i="44"/>
  <c r="N13" i="44"/>
  <c r="K13" i="44"/>
  <c r="J13" i="44"/>
  <c r="F13" i="44"/>
  <c r="C13" i="44"/>
  <c r="D13" i="44" s="1"/>
  <c r="V12" i="44"/>
  <c r="W12" i="44" s="1"/>
  <c r="R12" i="44"/>
  <c r="S12" i="44" s="1"/>
  <c r="O12" i="44"/>
  <c r="N12" i="44"/>
  <c r="J12" i="44"/>
  <c r="K12" i="44" s="1"/>
  <c r="F12" i="44"/>
  <c r="C12" i="44"/>
  <c r="V11" i="44"/>
  <c r="W11" i="44" s="1"/>
  <c r="S11" i="44"/>
  <c r="R11" i="44"/>
  <c r="O11" i="44"/>
  <c r="N11" i="44"/>
  <c r="J11" i="44"/>
  <c r="K11" i="44" s="1"/>
  <c r="F11" i="44"/>
  <c r="D11" i="44"/>
  <c r="C11" i="44"/>
  <c r="G11" i="44" s="1"/>
  <c r="V10" i="44"/>
  <c r="W10" i="44" s="1"/>
  <c r="R10" i="44"/>
  <c r="S10" i="44" s="1"/>
  <c r="O10" i="44"/>
  <c r="N10" i="44"/>
  <c r="J10" i="44"/>
  <c r="K10" i="44" s="1"/>
  <c r="F10" i="44"/>
  <c r="C10" i="44"/>
  <c r="V9" i="44"/>
  <c r="W9" i="44" s="1"/>
  <c r="S9" i="44"/>
  <c r="R9" i="44"/>
  <c r="O9" i="44"/>
  <c r="N9" i="44"/>
  <c r="J9" i="44"/>
  <c r="K9" i="44" s="1"/>
  <c r="F9" i="44"/>
  <c r="D9" i="44"/>
  <c r="C9" i="44"/>
  <c r="G9" i="44" s="1"/>
  <c r="W8" i="44"/>
  <c r="AB8" i="44" s="1"/>
  <c r="AC8" i="44" s="1"/>
  <c r="V8" i="44"/>
  <c r="S8" i="44"/>
  <c r="R8" i="44"/>
  <c r="N8" i="44"/>
  <c r="O8" i="44" s="1"/>
  <c r="Z8" i="44" s="1"/>
  <c r="J8" i="44"/>
  <c r="K8" i="44" s="1"/>
  <c r="F8" i="44"/>
  <c r="D8" i="44"/>
  <c r="G8" i="44" s="1"/>
  <c r="C8" i="44"/>
  <c r="W7" i="44"/>
  <c r="X7" i="44" s="1"/>
  <c r="V7" i="44"/>
  <c r="R7" i="44"/>
  <c r="S7" i="44" s="1"/>
  <c r="N7" i="44"/>
  <c r="O7" i="44" s="1"/>
  <c r="Z7" i="44" s="1"/>
  <c r="J7" i="44"/>
  <c r="K7" i="44" s="1"/>
  <c r="C7" i="44"/>
  <c r="F7" i="44" s="1"/>
  <c r="W6" i="44"/>
  <c r="V6" i="44"/>
  <c r="R6" i="44"/>
  <c r="S6" i="44" s="1"/>
  <c r="N6" i="44"/>
  <c r="O6" i="44" s="1"/>
  <c r="K6" i="44"/>
  <c r="J6" i="44"/>
  <c r="C6" i="44"/>
  <c r="F6" i="44" s="1"/>
  <c r="V5" i="44"/>
  <c r="W5" i="44" s="1"/>
  <c r="R5" i="44"/>
  <c r="S5" i="44" s="1"/>
  <c r="N5" i="44"/>
  <c r="O5" i="44" s="1"/>
  <c r="K5" i="44"/>
  <c r="J5" i="44"/>
  <c r="C5" i="44"/>
  <c r="V4" i="44"/>
  <c r="W4" i="44" s="1"/>
  <c r="R4" i="44"/>
  <c r="S4" i="44" s="1"/>
  <c r="O4" i="44"/>
  <c r="N4" i="44"/>
  <c r="K4" i="44"/>
  <c r="J4" i="44"/>
  <c r="F4" i="44"/>
  <c r="C4" i="44"/>
  <c r="V3" i="44"/>
  <c r="W3" i="44" s="1"/>
  <c r="S3" i="44"/>
  <c r="R3" i="44"/>
  <c r="O3" i="44"/>
  <c r="N3" i="44"/>
  <c r="J3" i="44"/>
  <c r="K3" i="44" s="1"/>
  <c r="F3" i="44"/>
  <c r="D3" i="44"/>
  <c r="G3" i="44" s="1"/>
  <c r="AE3" i="44" s="1"/>
  <c r="C3" i="44"/>
  <c r="AB10" i="44" l="1"/>
  <c r="Z10" i="44"/>
  <c r="X10" i="44"/>
  <c r="Z12" i="44"/>
  <c r="X12" i="44"/>
  <c r="AB12" i="44"/>
  <c r="AB13" i="44"/>
  <c r="AC13" i="44" s="1"/>
  <c r="Z13" i="44"/>
  <c r="AA13" i="44" s="1"/>
  <c r="X13" i="44"/>
  <c r="AB19" i="44"/>
  <c r="AC19" i="44" s="1"/>
  <c r="X19" i="44"/>
  <c r="Z19" i="44"/>
  <c r="AA19" i="44" s="1"/>
  <c r="AB9" i="44"/>
  <c r="AC9" i="44" s="1"/>
  <c r="X9" i="44"/>
  <c r="Z9" i="44"/>
  <c r="AA9" i="44" s="1"/>
  <c r="AB11" i="44"/>
  <c r="AC11" i="44" s="1"/>
  <c r="Z11" i="44"/>
  <c r="AA11" i="44" s="1"/>
  <c r="X11" i="44"/>
  <c r="AB6" i="44"/>
  <c r="X14" i="44"/>
  <c r="AB14" i="44"/>
  <c r="AC14" i="44" s="1"/>
  <c r="Z14" i="44"/>
  <c r="AA14" i="44" s="1"/>
  <c r="Z5" i="44"/>
  <c r="X5" i="44"/>
  <c r="AB5" i="44"/>
  <c r="AA7" i="44"/>
  <c r="AA8" i="44"/>
  <c r="AB16" i="44"/>
  <c r="AF3" i="44"/>
  <c r="AD7" i="44"/>
  <c r="AE7" i="44" s="1"/>
  <c r="AF7" i="44" s="1"/>
  <c r="AB3" i="44"/>
  <c r="AC3" i="44" s="1"/>
  <c r="Z3" i="44"/>
  <c r="X3" i="44"/>
  <c r="X4" i="44"/>
  <c r="AB4" i="44"/>
  <c r="Z4" i="44"/>
  <c r="G4" i="44"/>
  <c r="AD15" i="44"/>
  <c r="X17" i="44"/>
  <c r="AB18" i="44"/>
  <c r="AC18" i="44" s="1"/>
  <c r="Z18" i="44"/>
  <c r="AA18" i="44" s="1"/>
  <c r="X18" i="44"/>
  <c r="Z20" i="44"/>
  <c r="X20" i="44"/>
  <c r="AB20" i="44"/>
  <c r="D5" i="44"/>
  <c r="G5" i="44" s="1"/>
  <c r="X6" i="44"/>
  <c r="G13" i="44"/>
  <c r="D15" i="44"/>
  <c r="G15" i="44" s="1"/>
  <c r="X16" i="44"/>
  <c r="F5" i="44"/>
  <c r="AB7" i="44"/>
  <c r="D10" i="44"/>
  <c r="G10" i="44" s="1"/>
  <c r="D12" i="44"/>
  <c r="G12" i="44" s="1"/>
  <c r="F15" i="44"/>
  <c r="AB17" i="44"/>
  <c r="AC17" i="44" s="1"/>
  <c r="D20" i="44"/>
  <c r="G20" i="44" s="1"/>
  <c r="Z6" i="44"/>
  <c r="D7" i="44"/>
  <c r="G7" i="44" s="1"/>
  <c r="Y7" i="44" s="1"/>
  <c r="X8" i="44"/>
  <c r="Z16" i="44"/>
  <c r="AA16" i="44" s="1"/>
  <c r="F20" i="44"/>
  <c r="D4" i="44"/>
  <c r="D6" i="44"/>
  <c r="G6" i="44" s="1"/>
  <c r="D16" i="44"/>
  <c r="G16" i="44" s="1"/>
  <c r="AC15" i="44" l="1"/>
  <c r="AA15" i="44"/>
  <c r="Y15" i="44"/>
  <c r="Y8" i="44"/>
  <c r="AD8" i="44"/>
  <c r="AE8" i="44" s="1"/>
  <c r="AF8" i="44" s="1"/>
  <c r="AC7" i="44"/>
  <c r="Y20" i="44"/>
  <c r="AD20" i="44"/>
  <c r="AE20" i="44" s="1"/>
  <c r="AF20" i="44" s="1"/>
  <c r="AC12" i="44"/>
  <c r="AD9" i="44"/>
  <c r="AE9" i="44" s="1"/>
  <c r="AF9" i="44" s="1"/>
  <c r="Y9" i="44"/>
  <c r="AA20" i="44"/>
  <c r="AA4" i="44"/>
  <c r="AC5" i="44"/>
  <c r="AC6" i="44"/>
  <c r="AD19" i="44"/>
  <c r="AE19" i="44" s="1"/>
  <c r="AF19" i="44" s="1"/>
  <c r="Y19" i="44"/>
  <c r="Y12" i="44"/>
  <c r="AD12" i="44"/>
  <c r="AE12" i="44" s="1"/>
  <c r="AF12" i="44" s="1"/>
  <c r="AE15" i="44"/>
  <c r="AF15" i="44" s="1"/>
  <c r="AA6" i="44"/>
  <c r="AD16" i="44"/>
  <c r="AE16" i="44" s="1"/>
  <c r="AF16" i="44" s="1"/>
  <c r="Y16" i="44"/>
  <c r="Y18" i="44"/>
  <c r="AD18" i="44"/>
  <c r="AE18" i="44" s="1"/>
  <c r="AF18" i="44" s="1"/>
  <c r="AC4" i="44"/>
  <c r="Y5" i="44"/>
  <c r="AD5" i="44"/>
  <c r="AE5" i="44" s="1"/>
  <c r="AF5" i="44" s="1"/>
  <c r="AD11" i="44"/>
  <c r="AE11" i="44" s="1"/>
  <c r="AF11" i="44" s="1"/>
  <c r="Y11" i="44"/>
  <c r="AA12" i="44"/>
  <c r="Y4" i="44"/>
  <c r="AD4" i="44"/>
  <c r="AE4" i="44" s="1"/>
  <c r="AA5" i="44"/>
  <c r="AC16" i="44"/>
  <c r="Y14" i="44"/>
  <c r="AD14" i="44"/>
  <c r="AE14" i="44" s="1"/>
  <c r="AF14" i="44" s="1"/>
  <c r="AC20" i="44"/>
  <c r="AD6" i="44"/>
  <c r="AE6" i="44" s="1"/>
  <c r="AF6" i="44" s="1"/>
  <c r="Y6" i="44"/>
  <c r="Y17" i="44"/>
  <c r="AD17" i="44"/>
  <c r="AE17" i="44" s="1"/>
  <c r="AF17" i="44" s="1"/>
  <c r="Y13" i="44"/>
  <c r="AD13" i="44"/>
  <c r="AE13" i="44" s="1"/>
  <c r="AF13" i="44" s="1"/>
  <c r="AC10" i="44"/>
  <c r="AD10" i="44"/>
  <c r="AE10" i="44" s="1"/>
  <c r="AF10" i="44" s="1"/>
  <c r="AF4" i="44" l="1"/>
  <c r="AE21" i="44"/>
  <c r="AF21" i="44" s="1"/>
  <c r="N72" i="38" l="1"/>
  <c r="N78" i="38"/>
  <c r="N82" i="38"/>
  <c r="N83" i="38"/>
  <c r="V20" i="42"/>
  <c r="W20" i="42" s="1"/>
  <c r="R20" i="42"/>
  <c r="S20" i="42" s="1"/>
  <c r="N20" i="42"/>
  <c r="O20" i="42" s="1"/>
  <c r="J20" i="42"/>
  <c r="K20" i="42" s="1"/>
  <c r="C20" i="42"/>
  <c r="D20" i="42" s="1"/>
  <c r="V19" i="42"/>
  <c r="W19" i="42" s="1"/>
  <c r="R19" i="42"/>
  <c r="S19" i="42" s="1"/>
  <c r="N19" i="42"/>
  <c r="O19" i="42" s="1"/>
  <c r="J19" i="42"/>
  <c r="K19" i="42" s="1"/>
  <c r="D19" i="42"/>
  <c r="C19" i="42"/>
  <c r="V18" i="42"/>
  <c r="W18" i="42" s="1"/>
  <c r="R18" i="42"/>
  <c r="S18" i="42" s="1"/>
  <c r="N18" i="42"/>
  <c r="O18" i="42" s="1"/>
  <c r="J18" i="42"/>
  <c r="K18" i="42" s="1"/>
  <c r="C18" i="42"/>
  <c r="F18" i="42" s="1"/>
  <c r="V17" i="42"/>
  <c r="W17" i="42" s="1"/>
  <c r="S17" i="42"/>
  <c r="R17" i="42"/>
  <c r="N17" i="42"/>
  <c r="O17" i="42" s="1"/>
  <c r="J17" i="42"/>
  <c r="K17" i="42" s="1"/>
  <c r="C17" i="42"/>
  <c r="F17" i="42" s="1"/>
  <c r="V16" i="42"/>
  <c r="W16" i="42" s="1"/>
  <c r="R16" i="42"/>
  <c r="S16" i="42" s="1"/>
  <c r="N16" i="42"/>
  <c r="O16" i="42" s="1"/>
  <c r="K16" i="42"/>
  <c r="J16" i="42"/>
  <c r="C16" i="42"/>
  <c r="V15" i="42"/>
  <c r="W15" i="42" s="1"/>
  <c r="R15" i="42"/>
  <c r="S15" i="42" s="1"/>
  <c r="N15" i="42"/>
  <c r="O15" i="42" s="1"/>
  <c r="J15" i="42"/>
  <c r="K15" i="42" s="1"/>
  <c r="F15" i="42"/>
  <c r="C15" i="42"/>
  <c r="D15" i="42" s="1"/>
  <c r="V14" i="42"/>
  <c r="W14" i="42" s="1"/>
  <c r="R14" i="42"/>
  <c r="S14" i="42" s="1"/>
  <c r="N14" i="42"/>
  <c r="O14" i="42" s="1"/>
  <c r="J14" i="42"/>
  <c r="K14" i="42" s="1"/>
  <c r="C14" i="42"/>
  <c r="V13" i="42"/>
  <c r="W13" i="42" s="1"/>
  <c r="R13" i="42"/>
  <c r="S13" i="42" s="1"/>
  <c r="N13" i="42"/>
  <c r="O13" i="42" s="1"/>
  <c r="Z13" i="42" s="1"/>
  <c r="J13" i="42"/>
  <c r="K13" i="42" s="1"/>
  <c r="C13" i="42"/>
  <c r="V12" i="42"/>
  <c r="W12" i="42" s="1"/>
  <c r="R12" i="42"/>
  <c r="S12" i="42" s="1"/>
  <c r="N12" i="42"/>
  <c r="O12" i="42" s="1"/>
  <c r="J12" i="42"/>
  <c r="K12" i="42" s="1"/>
  <c r="C12" i="42"/>
  <c r="F12" i="42" s="1"/>
  <c r="V11" i="42"/>
  <c r="W11" i="42" s="1"/>
  <c r="R11" i="42"/>
  <c r="S11" i="42" s="1"/>
  <c r="N11" i="42"/>
  <c r="O11" i="42" s="1"/>
  <c r="J11" i="42"/>
  <c r="K11" i="42" s="1"/>
  <c r="C11" i="42"/>
  <c r="D11" i="42" s="1"/>
  <c r="V10" i="42"/>
  <c r="W10" i="42" s="1"/>
  <c r="R10" i="42"/>
  <c r="S10" i="42" s="1"/>
  <c r="N10" i="42"/>
  <c r="O10" i="42" s="1"/>
  <c r="J10" i="42"/>
  <c r="K10" i="42" s="1"/>
  <c r="F10" i="42"/>
  <c r="D10" i="42"/>
  <c r="C10" i="42"/>
  <c r="V9" i="42"/>
  <c r="W9" i="42" s="1"/>
  <c r="R9" i="42"/>
  <c r="S9" i="42" s="1"/>
  <c r="AB9" i="42" s="1"/>
  <c r="N9" i="42"/>
  <c r="O9" i="42" s="1"/>
  <c r="Z9" i="42" s="1"/>
  <c r="J9" i="42"/>
  <c r="K9" i="42" s="1"/>
  <c r="C9" i="42"/>
  <c r="D9" i="42" s="1"/>
  <c r="V8" i="42"/>
  <c r="W8" i="42" s="1"/>
  <c r="AB8" i="42" s="1"/>
  <c r="R8" i="42"/>
  <c r="S8" i="42" s="1"/>
  <c r="N8" i="42"/>
  <c r="O8" i="42" s="1"/>
  <c r="J8" i="42"/>
  <c r="K8" i="42" s="1"/>
  <c r="C8" i="42"/>
  <c r="F8" i="42" s="1"/>
  <c r="V7" i="42"/>
  <c r="W7" i="42" s="1"/>
  <c r="R7" i="42"/>
  <c r="S7" i="42" s="1"/>
  <c r="N7" i="42"/>
  <c r="O7" i="42" s="1"/>
  <c r="J7" i="42"/>
  <c r="K7" i="42" s="1"/>
  <c r="C7" i="42"/>
  <c r="D7" i="42" s="1"/>
  <c r="V6" i="42"/>
  <c r="W6" i="42" s="1"/>
  <c r="R6" i="42"/>
  <c r="S6" i="42" s="1"/>
  <c r="N6" i="42"/>
  <c r="O6" i="42" s="1"/>
  <c r="J6" i="42"/>
  <c r="K6" i="42" s="1"/>
  <c r="C6" i="42"/>
  <c r="V5" i="42"/>
  <c r="W5" i="42" s="1"/>
  <c r="R5" i="42"/>
  <c r="S5" i="42" s="1"/>
  <c r="N5" i="42"/>
  <c r="O5" i="42" s="1"/>
  <c r="J5" i="42"/>
  <c r="K5" i="42" s="1"/>
  <c r="C5" i="42"/>
  <c r="D5" i="42" s="1"/>
  <c r="V4" i="42"/>
  <c r="W4" i="42" s="1"/>
  <c r="R4" i="42"/>
  <c r="S4" i="42" s="1"/>
  <c r="N4" i="42"/>
  <c r="O4" i="42" s="1"/>
  <c r="J4" i="42"/>
  <c r="K4" i="42" s="1"/>
  <c r="C4" i="42"/>
  <c r="V3" i="42"/>
  <c r="W3" i="42" s="1"/>
  <c r="R3" i="42"/>
  <c r="S3" i="42" s="1"/>
  <c r="N3" i="42"/>
  <c r="O3" i="42" s="1"/>
  <c r="J3" i="42"/>
  <c r="K3" i="42" s="1"/>
  <c r="C3" i="42"/>
  <c r="G79" i="9"/>
  <c r="J102" i="35"/>
  <c r="K102" i="18"/>
  <c r="K18" i="18"/>
  <c r="K19" i="18" s="1"/>
  <c r="K20" i="18" s="1"/>
  <c r="J105" i="17"/>
  <c r="J100" i="17"/>
  <c r="J94" i="17"/>
  <c r="J92" i="17"/>
  <c r="J77" i="17"/>
  <c r="J53" i="17"/>
  <c r="J20" i="17"/>
  <c r="H145" i="16"/>
  <c r="I145" i="16"/>
  <c r="I144" i="16"/>
  <c r="I53" i="16"/>
  <c r="H53" i="16"/>
  <c r="H25" i="16"/>
  <c r="I25" i="16"/>
  <c r="L94" i="15"/>
  <c r="L89" i="15"/>
  <c r="L84" i="15"/>
  <c r="L82" i="15"/>
  <c r="L71" i="15"/>
  <c r="L48" i="15"/>
  <c r="L19" i="15"/>
  <c r="G5" i="13"/>
  <c r="G6" i="13"/>
  <c r="G7" i="13"/>
  <c r="G8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G80" i="13"/>
  <c r="G81" i="13"/>
  <c r="G82" i="13"/>
  <c r="G83" i="13"/>
  <c r="G84" i="13"/>
  <c r="G85" i="13"/>
  <c r="G86" i="13"/>
  <c r="G87" i="13"/>
  <c r="G88" i="13"/>
  <c r="G89" i="13"/>
  <c r="G90" i="13"/>
  <c r="G91" i="13"/>
  <c r="G92" i="13"/>
  <c r="G93" i="13"/>
  <c r="G94" i="13"/>
  <c r="G95" i="13"/>
  <c r="G96" i="13"/>
  <c r="G97" i="13"/>
  <c r="G98" i="13"/>
  <c r="G99" i="13"/>
  <c r="G100" i="13"/>
  <c r="G101" i="13"/>
  <c r="G102" i="13"/>
  <c r="G103" i="13"/>
  <c r="G104" i="13"/>
  <c r="G105" i="13"/>
  <c r="G106" i="13"/>
  <c r="G107" i="13"/>
  <c r="G108" i="13"/>
  <c r="G109" i="13"/>
  <c r="G110" i="13"/>
  <c r="G111" i="13"/>
  <c r="G112" i="13"/>
  <c r="G113" i="13"/>
  <c r="M9" i="36"/>
  <c r="M10" i="36"/>
  <c r="J6" i="35"/>
  <c r="J7" i="35" s="1"/>
  <c r="J8" i="35" s="1"/>
  <c r="J9" i="35" s="1"/>
  <c r="J18" i="34"/>
  <c r="J19" i="34" s="1"/>
  <c r="L55" i="19"/>
  <c r="L25" i="19"/>
  <c r="L26" i="19"/>
  <c r="L9" i="19"/>
  <c r="L9" i="18"/>
  <c r="K7" i="17"/>
  <c r="K10" i="17"/>
  <c r="K12" i="17"/>
  <c r="N56" i="16"/>
  <c r="N58" i="16"/>
  <c r="N62" i="16"/>
  <c r="N65" i="16"/>
  <c r="N70" i="16"/>
  <c r="N72" i="16"/>
  <c r="N80" i="16"/>
  <c r="N83" i="16"/>
  <c r="N84" i="16"/>
  <c r="N95" i="16"/>
  <c r="N100" i="16"/>
  <c r="N104" i="16"/>
  <c r="N109" i="16"/>
  <c r="N112" i="16"/>
  <c r="N114" i="16"/>
  <c r="N118" i="16"/>
  <c r="N121" i="16"/>
  <c r="N133" i="16"/>
  <c r="N135" i="16"/>
  <c r="N140" i="16"/>
  <c r="N142" i="16"/>
  <c r="N28" i="16"/>
  <c r="N32" i="16"/>
  <c r="N34" i="16"/>
  <c r="N37" i="16"/>
  <c r="N39" i="16"/>
  <c r="N42" i="16"/>
  <c r="N44" i="16"/>
  <c r="N46" i="16"/>
  <c r="N48" i="16"/>
  <c r="N50" i="16"/>
  <c r="N52" i="16"/>
  <c r="N6" i="16"/>
  <c r="N8" i="16"/>
  <c r="N10" i="16"/>
  <c r="N12" i="16"/>
  <c r="N14" i="16"/>
  <c r="N17" i="16"/>
  <c r="N18" i="16"/>
  <c r="N20" i="16"/>
  <c r="N22" i="16"/>
  <c r="N24" i="16"/>
  <c r="M8" i="15"/>
  <c r="M13" i="15"/>
  <c r="D4" i="42" l="1"/>
  <c r="G4" i="42" s="1"/>
  <c r="G15" i="42"/>
  <c r="Y15" i="42" s="1"/>
  <c r="F76" i="38" s="1"/>
  <c r="G76" i="38" s="1"/>
  <c r="F4" i="42"/>
  <c r="G10" i="42"/>
  <c r="F20" i="42"/>
  <c r="AB3" i="42"/>
  <c r="AB18" i="42"/>
  <c r="X18" i="42"/>
  <c r="G12" i="42"/>
  <c r="D12" i="42"/>
  <c r="X15" i="42"/>
  <c r="Z6" i="42"/>
  <c r="Z18" i="42"/>
  <c r="F5" i="42"/>
  <c r="G5" i="42" s="1"/>
  <c r="G20" i="42"/>
  <c r="D3" i="42"/>
  <c r="G7" i="42"/>
  <c r="X6" i="42"/>
  <c r="X16" i="42"/>
  <c r="F3" i="42"/>
  <c r="F7" i="42"/>
  <c r="AB11" i="42"/>
  <c r="D17" i="42"/>
  <c r="G17" i="42" s="1"/>
  <c r="AB5" i="42"/>
  <c r="Z5" i="42"/>
  <c r="X5" i="42"/>
  <c r="Z4" i="42"/>
  <c r="X4" i="42"/>
  <c r="AB4" i="42"/>
  <c r="Z7" i="42"/>
  <c r="X7" i="42"/>
  <c r="AB7" i="42"/>
  <c r="AB12" i="42"/>
  <c r="Z12" i="42"/>
  <c r="X12" i="42"/>
  <c r="AB19" i="42"/>
  <c r="AB20" i="42"/>
  <c r="AC20" i="42" s="1"/>
  <c r="F86" i="40" s="1"/>
  <c r="G86" i="40" s="1"/>
  <c r="Z20" i="42"/>
  <c r="AA20" i="42" s="1"/>
  <c r="F86" i="39" s="1"/>
  <c r="G86" i="39" s="1"/>
  <c r="X20" i="42"/>
  <c r="D6" i="42"/>
  <c r="F6" i="42"/>
  <c r="X9" i="42"/>
  <c r="Z11" i="42"/>
  <c r="X11" i="42"/>
  <c r="X13" i="42"/>
  <c r="AB13" i="42"/>
  <c r="Z15" i="42"/>
  <c r="AA15" i="42" s="1"/>
  <c r="F70" i="39" s="1"/>
  <c r="AB15" i="42"/>
  <c r="AB17" i="42"/>
  <c r="Z17" i="42"/>
  <c r="X17" i="42"/>
  <c r="F9" i="42"/>
  <c r="G9" i="42" s="1"/>
  <c r="AA9" i="42" s="1"/>
  <c r="F49" i="39" s="1"/>
  <c r="G49" i="39" s="1"/>
  <c r="F11" i="42"/>
  <c r="G11" i="42" s="1"/>
  <c r="AC11" i="42" s="1"/>
  <c r="F9" i="40" s="1"/>
  <c r="G9" i="40" s="1"/>
  <c r="X8" i="42"/>
  <c r="Z14" i="42"/>
  <c r="X14" i="42"/>
  <c r="Z16" i="42"/>
  <c r="AB6" i="42"/>
  <c r="D14" i="42"/>
  <c r="AB14" i="42"/>
  <c r="F16" i="42"/>
  <c r="D16" i="42"/>
  <c r="AD18" i="42"/>
  <c r="Z8" i="42"/>
  <c r="AB10" i="42"/>
  <c r="F14" i="42"/>
  <c r="G14" i="42" s="1"/>
  <c r="AB16" i="42"/>
  <c r="Z19" i="42"/>
  <c r="X19" i="42"/>
  <c r="F19" i="42"/>
  <c r="G19" i="42" s="1"/>
  <c r="D13" i="42"/>
  <c r="D8" i="42"/>
  <c r="G8" i="42" s="1"/>
  <c r="AC8" i="42" s="1"/>
  <c r="F7" i="40" s="1"/>
  <c r="G7" i="40" s="1"/>
  <c r="F13" i="42"/>
  <c r="D18" i="42"/>
  <c r="G18" i="42" s="1"/>
  <c r="J10" i="35"/>
  <c r="M9" i="35"/>
  <c r="J21" i="34"/>
  <c r="J20" i="34"/>
  <c r="J5" i="33"/>
  <c r="J5" i="32"/>
  <c r="J6" i="32" s="1"/>
  <c r="K5" i="31"/>
  <c r="K6" i="31" s="1"/>
  <c r="G16" i="42" l="1"/>
  <c r="AC16" i="42" s="1"/>
  <c r="F13" i="40" s="1"/>
  <c r="G13" i="40" s="1"/>
  <c r="AA4" i="42"/>
  <c r="F15" i="39" s="1"/>
  <c r="AC3" i="42"/>
  <c r="AC4" i="42"/>
  <c r="F15" i="40" s="1"/>
  <c r="Y18" i="42"/>
  <c r="F29" i="38" s="1"/>
  <c r="G29" i="38" s="1"/>
  <c r="AA17" i="42"/>
  <c r="F26" i="39" s="1"/>
  <c r="G26" i="39" s="1"/>
  <c r="AA12" i="42"/>
  <c r="F23" i="39" s="1"/>
  <c r="G23" i="39" s="1"/>
  <c r="AD6" i="42"/>
  <c r="AE6" i="42" s="1"/>
  <c r="AF6" i="42" s="1"/>
  <c r="AC17" i="42"/>
  <c r="F27" i="40" s="1"/>
  <c r="G27" i="40" s="1"/>
  <c r="G3" i="42"/>
  <c r="AE3" i="42" s="1"/>
  <c r="AF3" i="42" s="1"/>
  <c r="G13" i="42"/>
  <c r="AA13" i="42" s="1"/>
  <c r="F62" i="39" s="1"/>
  <c r="G62" i="39" s="1"/>
  <c r="AC15" i="42"/>
  <c r="F70" i="40" s="1"/>
  <c r="G70" i="40" s="1"/>
  <c r="G6" i="42"/>
  <c r="Y6" i="42" s="1"/>
  <c r="F42" i="38" s="1"/>
  <c r="G42" i="38" s="1"/>
  <c r="AD16" i="42"/>
  <c r="AC7" i="42"/>
  <c r="F6" i="40" s="1"/>
  <c r="AA5" i="42"/>
  <c r="F36" i="39" s="1"/>
  <c r="AA18" i="42"/>
  <c r="F27" i="39" s="1"/>
  <c r="G27" i="39" s="1"/>
  <c r="AE18" i="42"/>
  <c r="AF18" i="42" s="1"/>
  <c r="AC5" i="42"/>
  <c r="F36" i="40" s="1"/>
  <c r="AC18" i="42"/>
  <c r="F28" i="40" s="1"/>
  <c r="G28" i="40" s="1"/>
  <c r="AA11" i="42"/>
  <c r="F9" i="39" s="1"/>
  <c r="G9" i="39" s="1"/>
  <c r="AA7" i="42"/>
  <c r="F6" i="39" s="1"/>
  <c r="G70" i="39"/>
  <c r="L70" i="39"/>
  <c r="Y16" i="42"/>
  <c r="F14" i="38" s="1"/>
  <c r="G14" i="38" s="1"/>
  <c r="G15" i="40"/>
  <c r="AC12" i="42"/>
  <c r="F24" i="40" s="1"/>
  <c r="G24" i="40" s="1"/>
  <c r="AA19" i="42"/>
  <c r="F85" i="39" s="1"/>
  <c r="G85" i="39" s="1"/>
  <c r="Y5" i="42"/>
  <c r="F38" i="38" s="1"/>
  <c r="AD5" i="42"/>
  <c r="AE5" i="42" s="1"/>
  <c r="AF5" i="42" s="1"/>
  <c r="AA14" i="42"/>
  <c r="F68" i="39" s="1"/>
  <c r="G68" i="39" s="1"/>
  <c r="AC14" i="42"/>
  <c r="F68" i="40" s="1"/>
  <c r="G68" i="40" s="1"/>
  <c r="AD10" i="42"/>
  <c r="AE10" i="42" s="1"/>
  <c r="AF10" i="42" s="1"/>
  <c r="AC10" i="42"/>
  <c r="F23" i="40" s="1"/>
  <c r="G23" i="40" s="1"/>
  <c r="Y9" i="42"/>
  <c r="F52" i="38" s="1"/>
  <c r="G52" i="38" s="1"/>
  <c r="AD9" i="42"/>
  <c r="AE9" i="42" s="1"/>
  <c r="AF9" i="42" s="1"/>
  <c r="AA6" i="42"/>
  <c r="F40" i="39" s="1"/>
  <c r="G40" i="39" s="1"/>
  <c r="Y4" i="42"/>
  <c r="AD4" i="42"/>
  <c r="AE4" i="42" s="1"/>
  <c r="Y7" i="42"/>
  <c r="F6" i="38" s="1"/>
  <c r="AD7" i="42"/>
  <c r="AE7" i="42" s="1"/>
  <c r="AF7" i="42" s="1"/>
  <c r="AD13" i="42"/>
  <c r="Y20" i="42"/>
  <c r="F93" i="38" s="1"/>
  <c r="G93" i="38" s="1"/>
  <c r="AD20" i="42"/>
  <c r="AE20" i="42" s="1"/>
  <c r="AF20" i="42" s="1"/>
  <c r="AD8" i="42"/>
  <c r="AE8" i="42" s="1"/>
  <c r="AF8" i="42" s="1"/>
  <c r="Y8" i="42"/>
  <c r="F7" i="38" s="1"/>
  <c r="G7" i="38" s="1"/>
  <c r="Y17" i="42"/>
  <c r="F28" i="38" s="1"/>
  <c r="G28" i="38" s="1"/>
  <c r="AD17" i="42"/>
  <c r="AE17" i="42" s="1"/>
  <c r="AF17" i="42" s="1"/>
  <c r="AC6" i="42"/>
  <c r="F40" i="40" s="1"/>
  <c r="G40" i="40" s="1"/>
  <c r="AA8" i="42"/>
  <c r="F7" i="39" s="1"/>
  <c r="G7" i="39" s="1"/>
  <c r="AC19" i="42"/>
  <c r="F85" i="40" s="1"/>
  <c r="G85" i="40" s="1"/>
  <c r="Y14" i="42"/>
  <c r="F74" i="38" s="1"/>
  <c r="G74" i="38" s="1"/>
  <c r="AD14" i="42"/>
  <c r="AE14" i="42" s="1"/>
  <c r="AF14" i="42" s="1"/>
  <c r="Y12" i="42"/>
  <c r="F24" i="38" s="1"/>
  <c r="G24" i="38" s="1"/>
  <c r="AD12" i="42"/>
  <c r="AE12" i="42" s="1"/>
  <c r="AF12" i="42" s="1"/>
  <c r="Y11" i="42"/>
  <c r="F10" i="38" s="1"/>
  <c r="G10" i="38" s="1"/>
  <c r="AD11" i="42"/>
  <c r="AE11" i="42" s="1"/>
  <c r="AF11" i="42" s="1"/>
  <c r="AC9" i="42"/>
  <c r="F49" i="40" s="1"/>
  <c r="G49" i="40" s="1"/>
  <c r="Y19" i="42"/>
  <c r="F92" i="38" s="1"/>
  <c r="G92" i="38" s="1"/>
  <c r="AD19" i="42"/>
  <c r="AE19" i="42" s="1"/>
  <c r="AF19" i="42" s="1"/>
  <c r="AA16" i="42"/>
  <c r="F13" i="39" s="1"/>
  <c r="G13" i="39" s="1"/>
  <c r="AD15" i="42"/>
  <c r="AE15" i="42" s="1"/>
  <c r="AF15" i="42" s="1"/>
  <c r="J11" i="35"/>
  <c r="M10" i="35"/>
  <c r="J23" i="34"/>
  <c r="J22" i="34"/>
  <c r="J6" i="33"/>
  <c r="J7" i="33" s="1"/>
  <c r="K7" i="31"/>
  <c r="J7" i="32"/>
  <c r="Y13" i="42" l="1"/>
  <c r="F68" i="38" s="1"/>
  <c r="G68" i="38" s="1"/>
  <c r="AC13" i="42"/>
  <c r="F62" i="40" s="1"/>
  <c r="G62" i="40" s="1"/>
  <c r="AE16" i="42"/>
  <c r="AF16" i="42" s="1"/>
  <c r="AE13" i="42"/>
  <c r="AF13" i="42" s="1"/>
  <c r="G36" i="40"/>
  <c r="F16" i="38"/>
  <c r="F29" i="40"/>
  <c r="F28" i="39"/>
  <c r="G15" i="39"/>
  <c r="G6" i="38"/>
  <c r="F15" i="38"/>
  <c r="G38" i="38"/>
  <c r="G36" i="39"/>
  <c r="F94" i="39"/>
  <c r="F14" i="40"/>
  <c r="G6" i="40"/>
  <c r="AA21" i="42"/>
  <c r="F14" i="39"/>
  <c r="G6" i="39"/>
  <c r="AF4" i="42"/>
  <c r="J12" i="35"/>
  <c r="J13" i="35" s="1"/>
  <c r="J14" i="35" s="1"/>
  <c r="J15" i="35" s="1"/>
  <c r="J16" i="35" s="1"/>
  <c r="J17" i="35" s="1"/>
  <c r="J18" i="35" s="1"/>
  <c r="J19" i="35" s="1"/>
  <c r="J20" i="35" s="1"/>
  <c r="J21" i="35" s="1"/>
  <c r="J22" i="35" s="1"/>
  <c r="J23" i="35" s="1"/>
  <c r="J24" i="35" s="1"/>
  <c r="J25" i="35" s="1"/>
  <c r="J26" i="35" s="1"/>
  <c r="J27" i="35" s="1"/>
  <c r="J28" i="35" s="1"/>
  <c r="J29" i="35" s="1"/>
  <c r="J30" i="35" s="1"/>
  <c r="J31" i="35" s="1"/>
  <c r="J32" i="35" s="1"/>
  <c r="J33" i="35" s="1"/>
  <c r="J34" i="35" s="1"/>
  <c r="J35" i="35" s="1"/>
  <c r="J36" i="35" s="1"/>
  <c r="J37" i="35" s="1"/>
  <c r="J38" i="35" s="1"/>
  <c r="J39" i="35" s="1"/>
  <c r="J40" i="35" s="1"/>
  <c r="J41" i="35" s="1"/>
  <c r="J42" i="35" s="1"/>
  <c r="J43" i="35" s="1"/>
  <c r="J44" i="35" s="1"/>
  <c r="J45" i="35" s="1"/>
  <c r="J46" i="35" s="1"/>
  <c r="J47" i="35" s="1"/>
  <c r="J48" i="35" s="1"/>
  <c r="J49" i="35" s="1"/>
  <c r="J50" i="35" s="1"/>
  <c r="J51" i="35" s="1"/>
  <c r="J52" i="35" s="1"/>
  <c r="J53" i="35" s="1"/>
  <c r="J54" i="35" s="1"/>
  <c r="J55" i="35" s="1"/>
  <c r="J56" i="35" s="1"/>
  <c r="J57" i="35" s="1"/>
  <c r="J58" i="35" s="1"/>
  <c r="J59" i="35" s="1"/>
  <c r="J60" i="35" s="1"/>
  <c r="J61" i="35" s="1"/>
  <c r="J62" i="35" s="1"/>
  <c r="J63" i="35" s="1"/>
  <c r="J64" i="35" s="1"/>
  <c r="J65" i="35" s="1"/>
  <c r="J66" i="35" s="1"/>
  <c r="J67" i="35" s="1"/>
  <c r="J68" i="35" s="1"/>
  <c r="J25" i="34"/>
  <c r="J24" i="34"/>
  <c r="J8" i="33"/>
  <c r="K8" i="31"/>
  <c r="J8" i="32"/>
  <c r="J5" i="22"/>
  <c r="J6" i="22" s="1"/>
  <c r="J5" i="20"/>
  <c r="J6" i="20" s="1"/>
  <c r="J21" i="17"/>
  <c r="C142" i="41"/>
  <c r="D89" i="40"/>
  <c r="D93" i="40"/>
  <c r="D32" i="40"/>
  <c r="D33" i="40"/>
  <c r="D34" i="40"/>
  <c r="D35" i="40"/>
  <c r="D37" i="40"/>
  <c r="D38" i="40"/>
  <c r="D41" i="40"/>
  <c r="D42" i="40"/>
  <c r="D43" i="40"/>
  <c r="D44" i="40"/>
  <c r="D45" i="40"/>
  <c r="D46" i="40"/>
  <c r="D47" i="40"/>
  <c r="D48" i="40"/>
  <c r="D50" i="40"/>
  <c r="D51" i="40"/>
  <c r="D52" i="40"/>
  <c r="D53" i="40"/>
  <c r="D54" i="40"/>
  <c r="D56" i="40"/>
  <c r="D57" i="40"/>
  <c r="D58" i="40"/>
  <c r="D59" i="40"/>
  <c r="D60" i="40"/>
  <c r="D63" i="40"/>
  <c r="D67" i="40"/>
  <c r="D69" i="40"/>
  <c r="D73" i="40"/>
  <c r="D74" i="40"/>
  <c r="D76" i="40"/>
  <c r="D77" i="40"/>
  <c r="D79" i="40"/>
  <c r="D80" i="40"/>
  <c r="D81" i="40"/>
  <c r="D82" i="40"/>
  <c r="D83" i="40"/>
  <c r="D84" i="40"/>
  <c r="D87" i="40"/>
  <c r="D88" i="40"/>
  <c r="A67" i="9"/>
  <c r="D27" i="40"/>
  <c r="D29" i="40" s="1"/>
  <c r="E18" i="40"/>
  <c r="N18" i="40" s="1"/>
  <c r="C29" i="40"/>
  <c r="D7" i="40"/>
  <c r="AC21" i="42" l="1"/>
  <c r="Y21" i="42"/>
  <c r="F101" i="38"/>
  <c r="F94" i="40"/>
  <c r="F95" i="40" s="1"/>
  <c r="AE21" i="42"/>
  <c r="AF21" i="42" s="1"/>
  <c r="G101" i="38"/>
  <c r="G16" i="38"/>
  <c r="G30" i="38" s="1"/>
  <c r="F30" i="38"/>
  <c r="F95" i="39"/>
  <c r="J69" i="35"/>
  <c r="J70" i="35" s="1"/>
  <c r="J71" i="35" s="1"/>
  <c r="J72" i="35" s="1"/>
  <c r="J73" i="35" s="1"/>
  <c r="J74" i="35" s="1"/>
  <c r="J75" i="35" s="1"/>
  <c r="J76" i="35" s="1"/>
  <c r="J77" i="35" s="1"/>
  <c r="J78" i="35" s="1"/>
  <c r="J79" i="35" s="1"/>
  <c r="J80" i="35" s="1"/>
  <c r="J81" i="35" s="1"/>
  <c r="J82" i="35" s="1"/>
  <c r="J83" i="35" s="1"/>
  <c r="J84" i="35" s="1"/>
  <c r="J85" i="35" s="1"/>
  <c r="J86" i="35" s="1"/>
  <c r="J87" i="35" s="1"/>
  <c r="J88" i="35" s="1"/>
  <c r="J89" i="35" s="1"/>
  <c r="J90" i="35" s="1"/>
  <c r="J91" i="35" s="1"/>
  <c r="J92" i="35" s="1"/>
  <c r="J93" i="35" s="1"/>
  <c r="J94" i="35" s="1"/>
  <c r="J95" i="35" s="1"/>
  <c r="J96" i="35" s="1"/>
  <c r="J26" i="34"/>
  <c r="J27" i="34"/>
  <c r="K22" i="18"/>
  <c r="D94" i="40"/>
  <c r="J22" i="17"/>
  <c r="J7" i="22"/>
  <c r="K7" i="22" s="1"/>
  <c r="J7" i="20"/>
  <c r="K7" i="20" s="1"/>
  <c r="J9" i="32"/>
  <c r="K9" i="31"/>
  <c r="J9" i="33"/>
  <c r="F102" i="38" l="1"/>
  <c r="J97" i="35"/>
  <c r="J98" i="35" s="1"/>
  <c r="J99" i="35" s="1"/>
  <c r="J100" i="35" s="1"/>
  <c r="J101" i="35" s="1"/>
  <c r="J103" i="35" s="1"/>
  <c r="J104" i="35" s="1"/>
  <c r="J105" i="35" s="1"/>
  <c r="J106" i="35" s="1"/>
  <c r="J29" i="34"/>
  <c r="J28" i="34"/>
  <c r="K25" i="18"/>
  <c r="K21" i="18"/>
  <c r="K23" i="18"/>
  <c r="L20" i="15"/>
  <c r="M18" i="15"/>
  <c r="L21" i="15"/>
  <c r="J23" i="17"/>
  <c r="J10" i="32"/>
  <c r="J10" i="33"/>
  <c r="J8" i="20"/>
  <c r="K10" i="31"/>
  <c r="J8" i="22"/>
  <c r="C94" i="40"/>
  <c r="E77" i="40"/>
  <c r="N77" i="40" s="1"/>
  <c r="E76" i="40"/>
  <c r="N76" i="40" s="1"/>
  <c r="E75" i="40"/>
  <c r="N75" i="40" s="1"/>
  <c r="E74" i="40"/>
  <c r="N74" i="40" s="1"/>
  <c r="E73" i="40"/>
  <c r="N73" i="40" s="1"/>
  <c r="E69" i="40"/>
  <c r="N69" i="40" s="1"/>
  <c r="E48" i="40"/>
  <c r="N48" i="40" s="1"/>
  <c r="E46" i="40"/>
  <c r="N46" i="40" s="1"/>
  <c r="E44" i="40"/>
  <c r="N44" i="40" s="1"/>
  <c r="E42" i="40"/>
  <c r="N42" i="40" s="1"/>
  <c r="E40" i="40"/>
  <c r="N40" i="40" s="1"/>
  <c r="E38" i="40"/>
  <c r="N38" i="40" s="1"/>
  <c r="E36" i="40"/>
  <c r="N36" i="40" s="1"/>
  <c r="E34" i="40"/>
  <c r="N34" i="40" s="1"/>
  <c r="E32" i="40"/>
  <c r="N32" i="40" s="1"/>
  <c r="E30" i="40"/>
  <c r="N30" i="40" s="1"/>
  <c r="E28" i="40"/>
  <c r="N28" i="40" s="1"/>
  <c r="E27" i="40"/>
  <c r="N27" i="40" s="1"/>
  <c r="E25" i="40"/>
  <c r="N25" i="40" s="1"/>
  <c r="E24" i="40"/>
  <c r="N24" i="40" s="1"/>
  <c r="E23" i="40"/>
  <c r="N23" i="40" s="1"/>
  <c r="E22" i="40"/>
  <c r="N22" i="40" s="1"/>
  <c r="E21" i="40"/>
  <c r="N21" i="40" s="1"/>
  <c r="E20" i="40"/>
  <c r="N20" i="40" s="1"/>
  <c r="E19" i="40"/>
  <c r="N19" i="40" s="1"/>
  <c r="E16" i="40"/>
  <c r="N16" i="40" s="1"/>
  <c r="C14" i="40"/>
  <c r="E11" i="40"/>
  <c r="N11" i="40" s="1"/>
  <c r="E10" i="40"/>
  <c r="N10" i="40" s="1"/>
  <c r="E9" i="40"/>
  <c r="N9" i="40" s="1"/>
  <c r="E8" i="40"/>
  <c r="N8" i="40" s="1"/>
  <c r="L7" i="40"/>
  <c r="L8" i="40" s="1"/>
  <c r="L9" i="40" s="1"/>
  <c r="L10" i="40" s="1"/>
  <c r="L11" i="40" s="1"/>
  <c r="L12" i="40" s="1"/>
  <c r="L13" i="40" s="1"/>
  <c r="L15" i="40" s="1"/>
  <c r="L16" i="40" s="1"/>
  <c r="L17" i="40" s="1"/>
  <c r="I7" i="40"/>
  <c r="I8" i="40" s="1"/>
  <c r="E7" i="40"/>
  <c r="N7" i="40" s="1"/>
  <c r="E6" i="40"/>
  <c r="N6" i="40" s="1"/>
  <c r="A64" i="9"/>
  <c r="K94" i="39"/>
  <c r="D30" i="39"/>
  <c r="D31" i="39"/>
  <c r="D32" i="39"/>
  <c r="D33" i="39"/>
  <c r="D34" i="39"/>
  <c r="D35" i="39"/>
  <c r="D36" i="39"/>
  <c r="D37" i="39"/>
  <c r="D38" i="39"/>
  <c r="D39" i="39"/>
  <c r="D40" i="39"/>
  <c r="D41" i="39"/>
  <c r="D42" i="39"/>
  <c r="D43" i="39"/>
  <c r="D44" i="39"/>
  <c r="D45" i="39"/>
  <c r="D46" i="39"/>
  <c r="D47" i="39"/>
  <c r="D48" i="39"/>
  <c r="D49" i="39"/>
  <c r="D50" i="39"/>
  <c r="D51" i="39"/>
  <c r="D52" i="39"/>
  <c r="D53" i="39"/>
  <c r="D54" i="39"/>
  <c r="D55" i="39"/>
  <c r="D56" i="39"/>
  <c r="D57" i="39"/>
  <c r="D58" i="39"/>
  <c r="D59" i="39"/>
  <c r="D60" i="39"/>
  <c r="D61" i="39"/>
  <c r="D62" i="39"/>
  <c r="D63" i="39"/>
  <c r="D64" i="39"/>
  <c r="D66" i="39"/>
  <c r="D67" i="39"/>
  <c r="D68" i="39"/>
  <c r="D69" i="39"/>
  <c r="D70" i="39"/>
  <c r="D71" i="39"/>
  <c r="D72" i="39"/>
  <c r="D73" i="39"/>
  <c r="D74" i="39"/>
  <c r="D75" i="39"/>
  <c r="D76" i="39"/>
  <c r="D77" i="39"/>
  <c r="D78" i="39"/>
  <c r="D79" i="39"/>
  <c r="D80" i="39"/>
  <c r="D81" i="39"/>
  <c r="D82" i="39"/>
  <c r="D83" i="39"/>
  <c r="D84" i="39"/>
  <c r="D85" i="39"/>
  <c r="D86" i="39"/>
  <c r="D87" i="39"/>
  <c r="D88" i="39"/>
  <c r="D89" i="39"/>
  <c r="D90" i="39"/>
  <c r="D91" i="39"/>
  <c r="D92" i="39"/>
  <c r="D93" i="39"/>
  <c r="D29" i="39"/>
  <c r="D27" i="39"/>
  <c r="D26" i="39"/>
  <c r="D25" i="39"/>
  <c r="D24" i="39"/>
  <c r="D23" i="39"/>
  <c r="D22" i="39"/>
  <c r="D21" i="39"/>
  <c r="D20" i="39"/>
  <c r="D19" i="39"/>
  <c r="D18" i="39"/>
  <c r="D17" i="39"/>
  <c r="D15" i="39"/>
  <c r="D13" i="39"/>
  <c r="D12" i="39"/>
  <c r="D8" i="39"/>
  <c r="D7" i="39"/>
  <c r="D6" i="39"/>
  <c r="G94" i="40" l="1"/>
  <c r="J30" i="34"/>
  <c r="J31" i="34"/>
  <c r="L25" i="18"/>
  <c r="K28" i="18"/>
  <c r="K26" i="18"/>
  <c r="K24" i="18"/>
  <c r="L23" i="15"/>
  <c r="L22" i="15"/>
  <c r="G29" i="40"/>
  <c r="J24" i="17"/>
  <c r="K11" i="31"/>
  <c r="J9" i="20"/>
  <c r="K9" i="20" s="1"/>
  <c r="J11" i="33"/>
  <c r="J9" i="22"/>
  <c r="K9" i="22" s="1"/>
  <c r="J11" i="32"/>
  <c r="L19" i="40"/>
  <c r="L20" i="40" s="1"/>
  <c r="L21" i="40" s="1"/>
  <c r="L22" i="40" s="1"/>
  <c r="L23" i="40" s="1"/>
  <c r="L24" i="40" s="1"/>
  <c r="L25" i="40" s="1"/>
  <c r="L26" i="40" s="1"/>
  <c r="L27" i="40" s="1"/>
  <c r="L28" i="40" s="1"/>
  <c r="L18" i="40"/>
  <c r="E68" i="40"/>
  <c r="N68" i="40" s="1"/>
  <c r="E70" i="40"/>
  <c r="N70" i="40" s="1"/>
  <c r="E79" i="40"/>
  <c r="N79" i="40" s="1"/>
  <c r="E81" i="40"/>
  <c r="N81" i="40" s="1"/>
  <c r="E31" i="40"/>
  <c r="N31" i="40" s="1"/>
  <c r="E33" i="40"/>
  <c r="N33" i="40" s="1"/>
  <c r="E35" i="40"/>
  <c r="N35" i="40" s="1"/>
  <c r="E37" i="40"/>
  <c r="N37" i="40" s="1"/>
  <c r="E39" i="40"/>
  <c r="N39" i="40" s="1"/>
  <c r="E41" i="40"/>
  <c r="N41" i="40" s="1"/>
  <c r="E43" i="40"/>
  <c r="N43" i="40" s="1"/>
  <c r="E45" i="40"/>
  <c r="N45" i="40" s="1"/>
  <c r="E47" i="40"/>
  <c r="N47" i="40" s="1"/>
  <c r="E80" i="40"/>
  <c r="N80" i="40" s="1"/>
  <c r="G14" i="40"/>
  <c r="C95" i="40"/>
  <c r="E15" i="40"/>
  <c r="N15" i="40" s="1"/>
  <c r="E12" i="40"/>
  <c r="N12" i="40" s="1"/>
  <c r="J8" i="40"/>
  <c r="I9" i="40"/>
  <c r="I10" i="40" s="1"/>
  <c r="I11" i="40" s="1"/>
  <c r="I12" i="40" s="1"/>
  <c r="I13" i="40" s="1"/>
  <c r="E13" i="40"/>
  <c r="N13" i="40" s="1"/>
  <c r="E26" i="40"/>
  <c r="N26" i="40" s="1"/>
  <c r="E17" i="40"/>
  <c r="N17" i="40" s="1"/>
  <c r="D14" i="40"/>
  <c r="E49" i="40"/>
  <c r="N49" i="40" s="1"/>
  <c r="E50" i="40"/>
  <c r="N50" i="40" s="1"/>
  <c r="E51" i="40"/>
  <c r="N51" i="40" s="1"/>
  <c r="E52" i="40"/>
  <c r="N52" i="40" s="1"/>
  <c r="E53" i="40"/>
  <c r="N53" i="40" s="1"/>
  <c r="E54" i="40"/>
  <c r="N54" i="40" s="1"/>
  <c r="E55" i="40"/>
  <c r="N55" i="40" s="1"/>
  <c r="E56" i="40"/>
  <c r="N56" i="40" s="1"/>
  <c r="E57" i="40"/>
  <c r="N57" i="40" s="1"/>
  <c r="E58" i="40"/>
  <c r="N58" i="40" s="1"/>
  <c r="E59" i="40"/>
  <c r="N59" i="40" s="1"/>
  <c r="E60" i="40"/>
  <c r="N60" i="40" s="1"/>
  <c r="E61" i="40"/>
  <c r="N61" i="40" s="1"/>
  <c r="E62" i="40"/>
  <c r="N62" i="40" s="1"/>
  <c r="E63" i="40"/>
  <c r="N63" i="40" s="1"/>
  <c r="E64" i="40"/>
  <c r="N64" i="40" s="1"/>
  <c r="E65" i="40"/>
  <c r="N65" i="40" s="1"/>
  <c r="E66" i="40"/>
  <c r="N66" i="40" s="1"/>
  <c r="E84" i="40"/>
  <c r="N84" i="40" s="1"/>
  <c r="E85" i="40"/>
  <c r="N85" i="40" s="1"/>
  <c r="E86" i="40"/>
  <c r="N86" i="40" s="1"/>
  <c r="E87" i="40"/>
  <c r="N87" i="40" s="1"/>
  <c r="E88" i="40"/>
  <c r="N88" i="40" s="1"/>
  <c r="E89" i="40"/>
  <c r="N89" i="40" s="1"/>
  <c r="E90" i="40"/>
  <c r="N90" i="40" s="1"/>
  <c r="E91" i="40"/>
  <c r="N91" i="40" s="1"/>
  <c r="E92" i="40"/>
  <c r="N92" i="40" s="1"/>
  <c r="E93" i="40"/>
  <c r="N93" i="40" s="1"/>
  <c r="J7" i="40"/>
  <c r="C94" i="39"/>
  <c r="E85" i="39"/>
  <c r="L85" i="39" s="1"/>
  <c r="E84" i="39"/>
  <c r="L84" i="39" s="1"/>
  <c r="E83" i="39"/>
  <c r="L83" i="39" s="1"/>
  <c r="E82" i="39"/>
  <c r="L82" i="39" s="1"/>
  <c r="E75" i="39"/>
  <c r="L75" i="39" s="1"/>
  <c r="E68" i="39"/>
  <c r="L68" i="39" s="1"/>
  <c r="E67" i="39"/>
  <c r="L67" i="39" s="1"/>
  <c r="E66" i="39"/>
  <c r="L66" i="39" s="1"/>
  <c r="E64" i="39"/>
  <c r="L64" i="39" s="1"/>
  <c r="E63" i="39"/>
  <c r="L63" i="39" s="1"/>
  <c r="E62" i="39"/>
  <c r="L62" i="39" s="1"/>
  <c r="E61" i="39"/>
  <c r="L61" i="39" s="1"/>
  <c r="E60" i="39"/>
  <c r="L60" i="39" s="1"/>
  <c r="E59" i="39"/>
  <c r="L59" i="39" s="1"/>
  <c r="E58" i="39"/>
  <c r="L58" i="39" s="1"/>
  <c r="E57" i="39"/>
  <c r="L57" i="39" s="1"/>
  <c r="E56" i="39"/>
  <c r="L56" i="39" s="1"/>
  <c r="E55" i="39"/>
  <c r="L55" i="39" s="1"/>
  <c r="E54" i="39"/>
  <c r="L54" i="39" s="1"/>
  <c r="E53" i="39"/>
  <c r="L53" i="39" s="1"/>
  <c r="E52" i="39"/>
  <c r="L52" i="39" s="1"/>
  <c r="E51" i="39"/>
  <c r="L51" i="39" s="1"/>
  <c r="E50" i="39"/>
  <c r="L50" i="39" s="1"/>
  <c r="E49" i="39"/>
  <c r="L49" i="39" s="1"/>
  <c r="E48" i="39"/>
  <c r="L48" i="39" s="1"/>
  <c r="E47" i="39"/>
  <c r="L47" i="39" s="1"/>
  <c r="E46" i="39"/>
  <c r="L46" i="39" s="1"/>
  <c r="E45" i="39"/>
  <c r="L45" i="39" s="1"/>
  <c r="E44" i="39"/>
  <c r="L44" i="39" s="1"/>
  <c r="E43" i="39"/>
  <c r="L43" i="39" s="1"/>
  <c r="E42" i="39"/>
  <c r="L42" i="39" s="1"/>
  <c r="E41" i="39"/>
  <c r="L41" i="39" s="1"/>
  <c r="C28" i="39"/>
  <c r="E25" i="39"/>
  <c r="L25" i="39" s="1"/>
  <c r="E23" i="39"/>
  <c r="L23" i="39" s="1"/>
  <c r="E22" i="39"/>
  <c r="L22" i="39" s="1"/>
  <c r="E21" i="39"/>
  <c r="L21" i="39" s="1"/>
  <c r="E16" i="39"/>
  <c r="L16" i="39" s="1"/>
  <c r="E15" i="39"/>
  <c r="L15" i="39" s="1"/>
  <c r="C14" i="39"/>
  <c r="E13" i="39"/>
  <c r="L13" i="39" s="1"/>
  <c r="E12" i="39"/>
  <c r="L12" i="39" s="1"/>
  <c r="E11" i="39"/>
  <c r="L11" i="39" s="1"/>
  <c r="E10" i="39"/>
  <c r="L10" i="39" s="1"/>
  <c r="E9" i="39"/>
  <c r="L9" i="39" s="1"/>
  <c r="I7" i="39"/>
  <c r="I8" i="39" s="1"/>
  <c r="E7" i="39"/>
  <c r="L7" i="39" s="1"/>
  <c r="J6" i="39"/>
  <c r="D14" i="39"/>
  <c r="A61" i="9"/>
  <c r="D32" i="38"/>
  <c r="D33" i="38"/>
  <c r="D34" i="38"/>
  <c r="D35" i="38"/>
  <c r="E35" i="38" s="1"/>
  <c r="N35" i="38" s="1"/>
  <c r="D36" i="38"/>
  <c r="E36" i="38" s="1"/>
  <c r="N36" i="38" s="1"/>
  <c r="D37" i="38"/>
  <c r="E37" i="38" s="1"/>
  <c r="N37" i="38" s="1"/>
  <c r="D38" i="38"/>
  <c r="D39" i="38"/>
  <c r="E39" i="38" s="1"/>
  <c r="N39" i="38" s="1"/>
  <c r="D40" i="38"/>
  <c r="D41" i="38"/>
  <c r="D42" i="38"/>
  <c r="E42" i="38" s="1"/>
  <c r="N42" i="38" s="1"/>
  <c r="D43" i="38"/>
  <c r="E43" i="38" s="1"/>
  <c r="N43" i="38" s="1"/>
  <c r="D44" i="38"/>
  <c r="D45" i="38"/>
  <c r="E45" i="38" s="1"/>
  <c r="N45" i="38" s="1"/>
  <c r="D46" i="38"/>
  <c r="E46" i="38" s="1"/>
  <c r="N46" i="38" s="1"/>
  <c r="D47" i="38"/>
  <c r="D48" i="38"/>
  <c r="D49" i="38"/>
  <c r="E49" i="38" s="1"/>
  <c r="N49" i="38" s="1"/>
  <c r="D50" i="38"/>
  <c r="E50" i="38" s="1"/>
  <c r="N50" i="38" s="1"/>
  <c r="D51" i="38"/>
  <c r="E51" i="38" s="1"/>
  <c r="N51" i="38" s="1"/>
  <c r="D52" i="38"/>
  <c r="E52" i="38" s="1"/>
  <c r="N52" i="38" s="1"/>
  <c r="D53" i="38"/>
  <c r="E53" i="38" s="1"/>
  <c r="N53" i="38" s="1"/>
  <c r="D54" i="38"/>
  <c r="E54" i="38" s="1"/>
  <c r="N54" i="38" s="1"/>
  <c r="D55" i="38"/>
  <c r="E55" i="38" s="1"/>
  <c r="N55" i="38" s="1"/>
  <c r="D56" i="38"/>
  <c r="E56" i="38" s="1"/>
  <c r="N56" i="38" s="1"/>
  <c r="D57" i="38"/>
  <c r="E57" i="38" s="1"/>
  <c r="N57" i="38" s="1"/>
  <c r="D58" i="38"/>
  <c r="E58" i="38" s="1"/>
  <c r="N58" i="38" s="1"/>
  <c r="D59" i="38"/>
  <c r="E59" i="38" s="1"/>
  <c r="N59" i="38" s="1"/>
  <c r="D60" i="38"/>
  <c r="E60" i="38" s="1"/>
  <c r="N60" i="38" s="1"/>
  <c r="D61" i="38"/>
  <c r="E61" i="38" s="1"/>
  <c r="N61" i="38" s="1"/>
  <c r="D62" i="38"/>
  <c r="E62" i="38" s="1"/>
  <c r="N62" i="38" s="1"/>
  <c r="D63" i="38"/>
  <c r="E63" i="38" s="1"/>
  <c r="N63" i="38" s="1"/>
  <c r="D64" i="38"/>
  <c r="D65" i="38"/>
  <c r="D66" i="38"/>
  <c r="E66" i="38" s="1"/>
  <c r="N66" i="38" s="1"/>
  <c r="D67" i="38"/>
  <c r="E67" i="38" s="1"/>
  <c r="N67" i="38" s="1"/>
  <c r="D68" i="38"/>
  <c r="E68" i="38" s="1"/>
  <c r="N68" i="38" s="1"/>
  <c r="D69" i="38"/>
  <c r="E69" i="38" s="1"/>
  <c r="N69" i="38" s="1"/>
  <c r="D70" i="38"/>
  <c r="E70" i="38" s="1"/>
  <c r="N70" i="38" s="1"/>
  <c r="D71" i="38"/>
  <c r="E71" i="38" s="1"/>
  <c r="N71" i="38" s="1"/>
  <c r="D73" i="38"/>
  <c r="E73" i="38" s="1"/>
  <c r="N73" i="38" s="1"/>
  <c r="D74" i="38"/>
  <c r="E74" i="38" s="1"/>
  <c r="N74" i="38" s="1"/>
  <c r="D75" i="38"/>
  <c r="E75" i="38" s="1"/>
  <c r="N75" i="38" s="1"/>
  <c r="D76" i="38"/>
  <c r="E76" i="38" s="1"/>
  <c r="N76" i="38" s="1"/>
  <c r="D77" i="38"/>
  <c r="E77" i="38" s="1"/>
  <c r="N77" i="38" s="1"/>
  <c r="D79" i="38"/>
  <c r="D80" i="38"/>
  <c r="E80" i="38" s="1"/>
  <c r="N80" i="38" s="1"/>
  <c r="D81" i="38"/>
  <c r="E81" i="38" s="1"/>
  <c r="N81" i="38" s="1"/>
  <c r="D84" i="38"/>
  <c r="E84" i="38" s="1"/>
  <c r="N84" i="38" s="1"/>
  <c r="D85" i="38"/>
  <c r="D86" i="38"/>
  <c r="E86" i="38" s="1"/>
  <c r="N86" i="38" s="1"/>
  <c r="D87" i="38"/>
  <c r="E87" i="38" s="1"/>
  <c r="N87" i="38" s="1"/>
  <c r="D88" i="38"/>
  <c r="E88" i="38" s="1"/>
  <c r="N88" i="38" s="1"/>
  <c r="D89" i="38"/>
  <c r="D90" i="38"/>
  <c r="E90" i="38" s="1"/>
  <c r="N90" i="38" s="1"/>
  <c r="D91" i="38"/>
  <c r="E91" i="38" s="1"/>
  <c r="N91" i="38" s="1"/>
  <c r="D92" i="38"/>
  <c r="E92" i="38" s="1"/>
  <c r="N92" i="38" s="1"/>
  <c r="D93" i="38"/>
  <c r="D94" i="38"/>
  <c r="E94" i="38" s="1"/>
  <c r="N94" i="38" s="1"/>
  <c r="D95" i="38"/>
  <c r="D96" i="38"/>
  <c r="E96" i="38" s="1"/>
  <c r="N96" i="38" s="1"/>
  <c r="D97" i="38"/>
  <c r="E97" i="38" s="1"/>
  <c r="N97" i="38" s="1"/>
  <c r="D98" i="38"/>
  <c r="E98" i="38" s="1"/>
  <c r="N98" i="38" s="1"/>
  <c r="D99" i="38"/>
  <c r="E99" i="38" s="1"/>
  <c r="N99" i="38" s="1"/>
  <c r="D100" i="38"/>
  <c r="E100" i="38" s="1"/>
  <c r="N100" i="38" s="1"/>
  <c r="D31" i="38"/>
  <c r="E79" i="38"/>
  <c r="N79" i="38" s="1"/>
  <c r="E65" i="38"/>
  <c r="N65" i="38" s="1"/>
  <c r="E89" i="38"/>
  <c r="N89" i="38" s="1"/>
  <c r="E93" i="38"/>
  <c r="N93" i="38" s="1"/>
  <c r="E33" i="38"/>
  <c r="N33" i="38" s="1"/>
  <c r="E41" i="38"/>
  <c r="N41" i="38" s="1"/>
  <c r="C101" i="38"/>
  <c r="E85" i="38"/>
  <c r="N85" i="38" s="1"/>
  <c r="E64" i="38"/>
  <c r="N64" i="38" s="1"/>
  <c r="E48" i="38"/>
  <c r="N48" i="38" s="1"/>
  <c r="D29" i="38"/>
  <c r="E29" i="38" s="1"/>
  <c r="N29" i="38" s="1"/>
  <c r="D28" i="38"/>
  <c r="E28" i="38" s="1"/>
  <c r="N28" i="38" s="1"/>
  <c r="D27" i="38"/>
  <c r="E27" i="38" s="1"/>
  <c r="N27" i="38" s="1"/>
  <c r="D25" i="38"/>
  <c r="D22" i="38"/>
  <c r="E22" i="38" s="1"/>
  <c r="N22" i="38" s="1"/>
  <c r="D21" i="38"/>
  <c r="D20" i="38"/>
  <c r="D19" i="38"/>
  <c r="D18" i="38"/>
  <c r="E18" i="38" s="1"/>
  <c r="N18" i="38" s="1"/>
  <c r="D16" i="38"/>
  <c r="J6" i="38"/>
  <c r="D14" i="38"/>
  <c r="D13" i="38"/>
  <c r="D9" i="38"/>
  <c r="D8" i="38"/>
  <c r="E8" i="38" s="1"/>
  <c r="N8" i="38" s="1"/>
  <c r="D7" i="38"/>
  <c r="E7" i="38" s="1"/>
  <c r="N7" i="38" s="1"/>
  <c r="D6" i="38"/>
  <c r="E47" i="38"/>
  <c r="N47" i="38" s="1"/>
  <c r="E34" i="38"/>
  <c r="N34" i="38" s="1"/>
  <c r="E32" i="38"/>
  <c r="N32" i="38" s="1"/>
  <c r="E31" i="38"/>
  <c r="N31" i="38" s="1"/>
  <c r="C30" i="38"/>
  <c r="E26" i="38"/>
  <c r="N26" i="38" s="1"/>
  <c r="E25" i="38"/>
  <c r="N25" i="38" s="1"/>
  <c r="E24" i="38"/>
  <c r="N24" i="38" s="1"/>
  <c r="E23" i="38"/>
  <c r="N23" i="38" s="1"/>
  <c r="E20" i="38"/>
  <c r="N20" i="38" s="1"/>
  <c r="E17" i="38"/>
  <c r="N17" i="38" s="1"/>
  <c r="C15" i="38"/>
  <c r="E12" i="38"/>
  <c r="N12" i="38" s="1"/>
  <c r="E11" i="38"/>
  <c r="N11" i="38" s="1"/>
  <c r="E10" i="38"/>
  <c r="N10" i="38" s="1"/>
  <c r="I7" i="38"/>
  <c r="I8" i="38" s="1"/>
  <c r="I9" i="38" s="1"/>
  <c r="I10" i="38" s="1"/>
  <c r="I11" i="38" s="1"/>
  <c r="I12" i="38" s="1"/>
  <c r="I13" i="38" s="1"/>
  <c r="I14" i="38" s="1"/>
  <c r="I16" i="38" s="1"/>
  <c r="J16" i="38" s="1"/>
  <c r="N94" i="40" l="1"/>
  <c r="G15" i="38"/>
  <c r="G102" i="38" s="1"/>
  <c r="J32" i="34"/>
  <c r="K29" i="18"/>
  <c r="L26" i="18"/>
  <c r="K27" i="18"/>
  <c r="K31" i="18"/>
  <c r="L24" i="15"/>
  <c r="L25" i="15"/>
  <c r="E94" i="40"/>
  <c r="E29" i="40"/>
  <c r="E14" i="40"/>
  <c r="E44" i="38"/>
  <c r="N44" i="38" s="1"/>
  <c r="E95" i="38"/>
  <c r="N95" i="38" s="1"/>
  <c r="J25" i="17"/>
  <c r="J10" i="20"/>
  <c r="J12" i="32"/>
  <c r="J12" i="33"/>
  <c r="J10" i="22"/>
  <c r="K10" i="22" s="1"/>
  <c r="K12" i="31"/>
  <c r="G95" i="40"/>
  <c r="N14" i="40"/>
  <c r="D95" i="40"/>
  <c r="I15" i="40"/>
  <c r="J15" i="40" s="1"/>
  <c r="K94" i="40"/>
  <c r="N29" i="40"/>
  <c r="E72" i="39"/>
  <c r="L72" i="39" s="1"/>
  <c r="E17" i="39"/>
  <c r="L17" i="39" s="1"/>
  <c r="E19" i="39"/>
  <c r="L19" i="39" s="1"/>
  <c r="E27" i="39"/>
  <c r="L27" i="39" s="1"/>
  <c r="E74" i="39"/>
  <c r="L74" i="39" s="1"/>
  <c r="E24" i="39"/>
  <c r="L24" i="39" s="1"/>
  <c r="E71" i="39"/>
  <c r="L71" i="39" s="1"/>
  <c r="E73" i="39"/>
  <c r="L73" i="39" s="1"/>
  <c r="G94" i="39"/>
  <c r="E18" i="39"/>
  <c r="L18" i="39" s="1"/>
  <c r="E26" i="39"/>
  <c r="L26" i="39" s="1"/>
  <c r="G14" i="39"/>
  <c r="I9" i="39"/>
  <c r="J8" i="39"/>
  <c r="D94" i="39"/>
  <c r="E29" i="39"/>
  <c r="L29" i="39" s="1"/>
  <c r="E33" i="39"/>
  <c r="L33" i="39" s="1"/>
  <c r="E37" i="39"/>
  <c r="L37" i="39" s="1"/>
  <c r="E78" i="39"/>
  <c r="L78" i="39" s="1"/>
  <c r="E92" i="39"/>
  <c r="L92" i="39" s="1"/>
  <c r="E6" i="39"/>
  <c r="L6" i="39" s="1"/>
  <c r="E8" i="39"/>
  <c r="L8" i="39" s="1"/>
  <c r="E88" i="39"/>
  <c r="L88" i="39" s="1"/>
  <c r="J7" i="39"/>
  <c r="E20" i="39"/>
  <c r="L20" i="39" s="1"/>
  <c r="E86" i="39"/>
  <c r="L86" i="39" s="1"/>
  <c r="E93" i="39"/>
  <c r="L93" i="39" s="1"/>
  <c r="E38" i="39"/>
  <c r="L38" i="39" s="1"/>
  <c r="G28" i="39"/>
  <c r="E31" i="39"/>
  <c r="L31" i="39" s="1"/>
  <c r="E35" i="39"/>
  <c r="L35" i="39" s="1"/>
  <c r="E39" i="39"/>
  <c r="L39" i="39" s="1"/>
  <c r="E34" i="39"/>
  <c r="L34" i="39" s="1"/>
  <c r="E79" i="39"/>
  <c r="L79" i="39" s="1"/>
  <c r="E90" i="39"/>
  <c r="L90" i="39" s="1"/>
  <c r="E91" i="39"/>
  <c r="L91" i="39" s="1"/>
  <c r="C95" i="39"/>
  <c r="E32" i="39"/>
  <c r="L32" i="39" s="1"/>
  <c r="E36" i="39"/>
  <c r="L36" i="39" s="1"/>
  <c r="E40" i="39"/>
  <c r="L40" i="39" s="1"/>
  <c r="E77" i="39"/>
  <c r="L77" i="39" s="1"/>
  <c r="E87" i="39"/>
  <c r="L87" i="39" s="1"/>
  <c r="E30" i="39"/>
  <c r="L30" i="39" s="1"/>
  <c r="D28" i="39"/>
  <c r="E89" i="39"/>
  <c r="L89" i="39" s="1"/>
  <c r="C102" i="38"/>
  <c r="E38" i="38"/>
  <c r="N38" i="38" s="1"/>
  <c r="E9" i="38"/>
  <c r="N9" i="38" s="1"/>
  <c r="E19" i="38"/>
  <c r="N19" i="38" s="1"/>
  <c r="D101" i="38"/>
  <c r="D30" i="38"/>
  <c r="E40" i="38"/>
  <c r="N40" i="38" s="1"/>
  <c r="E14" i="38"/>
  <c r="N14" i="38" s="1"/>
  <c r="J14" i="38"/>
  <c r="J9" i="38"/>
  <c r="J13" i="38"/>
  <c r="J8" i="38"/>
  <c r="J7" i="38"/>
  <c r="E16" i="38"/>
  <c r="N16" i="38" s="1"/>
  <c r="E21" i="38"/>
  <c r="N21" i="38" s="1"/>
  <c r="I17" i="38"/>
  <c r="I18" i="38" s="1"/>
  <c r="E13" i="38"/>
  <c r="N13" i="38" s="1"/>
  <c r="D15" i="38"/>
  <c r="E6" i="38"/>
  <c r="N6" i="38" s="1"/>
  <c r="N15" i="38" l="1"/>
  <c r="L28" i="39"/>
  <c r="N101" i="38"/>
  <c r="E101" i="38"/>
  <c r="N30" i="38"/>
  <c r="K34" i="18"/>
  <c r="K30" i="18"/>
  <c r="K32" i="18"/>
  <c r="L27" i="15"/>
  <c r="L26" i="15"/>
  <c r="M24" i="15"/>
  <c r="L94" i="39"/>
  <c r="L14" i="39"/>
  <c r="J26" i="17"/>
  <c r="J11" i="22"/>
  <c r="K11" i="22" s="1"/>
  <c r="J13" i="33"/>
  <c r="K13" i="31"/>
  <c r="J13" i="32"/>
  <c r="J11" i="20"/>
  <c r="K11" i="20" s="1"/>
  <c r="E95" i="40"/>
  <c r="G67" i="9" s="1"/>
  <c r="K95" i="40"/>
  <c r="I16" i="40"/>
  <c r="I17" i="40" s="1"/>
  <c r="G95" i="39"/>
  <c r="E28" i="39"/>
  <c r="E14" i="39"/>
  <c r="E94" i="39"/>
  <c r="I10" i="39"/>
  <c r="I11" i="39" s="1"/>
  <c r="I12" i="39" s="1"/>
  <c r="I13" i="39" s="1"/>
  <c r="I15" i="39" s="1"/>
  <c r="D95" i="39"/>
  <c r="E30" i="38"/>
  <c r="I19" i="38"/>
  <c r="J18" i="38"/>
  <c r="D102" i="38"/>
  <c r="E15" i="38"/>
  <c r="A57" i="9"/>
  <c r="F38" i="37"/>
  <c r="F39" i="37"/>
  <c r="F40" i="37"/>
  <c r="F41" i="37"/>
  <c r="F42" i="37"/>
  <c r="F43" i="37"/>
  <c r="F44" i="37"/>
  <c r="F45" i="37"/>
  <c r="F46" i="37"/>
  <c r="F47" i="37"/>
  <c r="F48" i="37"/>
  <c r="F49" i="37"/>
  <c r="F50" i="37"/>
  <c r="F51" i="37"/>
  <c r="F52" i="37"/>
  <c r="F53" i="37"/>
  <c r="F54" i="37"/>
  <c r="F55" i="37"/>
  <c r="F56" i="37"/>
  <c r="F57" i="37"/>
  <c r="F58" i="37"/>
  <c r="F59" i="37"/>
  <c r="F60" i="37"/>
  <c r="F61" i="37"/>
  <c r="F62" i="37"/>
  <c r="F63" i="37"/>
  <c r="F64" i="37"/>
  <c r="F65" i="37"/>
  <c r="F66" i="37"/>
  <c r="F67" i="37"/>
  <c r="F68" i="37"/>
  <c r="F69" i="37"/>
  <c r="F70" i="37"/>
  <c r="F71" i="37"/>
  <c r="F72" i="37"/>
  <c r="F73" i="37"/>
  <c r="F74" i="37"/>
  <c r="F75" i="37"/>
  <c r="F76" i="37"/>
  <c r="F77" i="37"/>
  <c r="F78" i="37"/>
  <c r="F79" i="37"/>
  <c r="F80" i="37"/>
  <c r="F81" i="37"/>
  <c r="F82" i="37"/>
  <c r="F83" i="37"/>
  <c r="F84" i="37"/>
  <c r="F85" i="37"/>
  <c r="F86" i="37"/>
  <c r="F87" i="37"/>
  <c r="F88" i="37"/>
  <c r="F89" i="37"/>
  <c r="F90" i="37"/>
  <c r="F91" i="37"/>
  <c r="F92" i="37"/>
  <c r="F93" i="37"/>
  <c r="F94" i="37"/>
  <c r="F95" i="37"/>
  <c r="F96" i="37"/>
  <c r="F97" i="37"/>
  <c r="F98" i="37"/>
  <c r="F99" i="37"/>
  <c r="F100" i="37"/>
  <c r="H100" i="37" s="1"/>
  <c r="F101" i="37"/>
  <c r="H101" i="37" s="1"/>
  <c r="F102" i="37"/>
  <c r="H102" i="37" s="1"/>
  <c r="F103" i="37"/>
  <c r="F21" i="37"/>
  <c r="F22" i="37"/>
  <c r="F23" i="37"/>
  <c r="F24" i="37"/>
  <c r="F25" i="37"/>
  <c r="F26" i="37"/>
  <c r="F27" i="37"/>
  <c r="F28" i="37"/>
  <c r="F29" i="37"/>
  <c r="F30" i="37"/>
  <c r="F31" i="37"/>
  <c r="F32" i="37"/>
  <c r="F33" i="37"/>
  <c r="F34" i="37"/>
  <c r="F35" i="37"/>
  <c r="F6" i="37"/>
  <c r="G6" i="37" s="1"/>
  <c r="O6" i="37" s="1"/>
  <c r="F7" i="37"/>
  <c r="F8" i="37"/>
  <c r="G8" i="37" s="1"/>
  <c r="O8" i="37" s="1"/>
  <c r="F9" i="37"/>
  <c r="F10" i="37"/>
  <c r="F11" i="37"/>
  <c r="F12" i="37"/>
  <c r="F13" i="37"/>
  <c r="F14" i="37"/>
  <c r="F15" i="37"/>
  <c r="F16" i="37"/>
  <c r="F17" i="37"/>
  <c r="F18" i="37"/>
  <c r="D103" i="37"/>
  <c r="E103" i="37" s="1"/>
  <c r="E99" i="37"/>
  <c r="D97" i="37"/>
  <c r="E97" i="37" s="1"/>
  <c r="D96" i="37"/>
  <c r="E96" i="37" s="1"/>
  <c r="D94" i="37"/>
  <c r="E94" i="37" s="1"/>
  <c r="D93" i="37"/>
  <c r="E93" i="37" s="1"/>
  <c r="D92" i="37"/>
  <c r="D91" i="37"/>
  <c r="E91" i="37" s="1"/>
  <c r="D90" i="37"/>
  <c r="D89" i="37"/>
  <c r="E89" i="37" s="1"/>
  <c r="D88" i="37"/>
  <c r="D87" i="37"/>
  <c r="D86" i="37"/>
  <c r="D83" i="37"/>
  <c r="E83" i="37" s="1"/>
  <c r="D81" i="37"/>
  <c r="E81" i="37" s="1"/>
  <c r="D79" i="37"/>
  <c r="E79" i="37" s="1"/>
  <c r="D77" i="37"/>
  <c r="D75" i="37"/>
  <c r="E75" i="37" s="1"/>
  <c r="D74" i="37"/>
  <c r="E74" i="37" s="1"/>
  <c r="D73" i="37"/>
  <c r="D72" i="37"/>
  <c r="E72" i="37" s="1"/>
  <c r="D71" i="37"/>
  <c r="E71" i="37" s="1"/>
  <c r="D70" i="37"/>
  <c r="D69" i="37"/>
  <c r="E69" i="37" s="1"/>
  <c r="D68" i="37"/>
  <c r="D67" i="37"/>
  <c r="E67" i="37" s="1"/>
  <c r="D66" i="37"/>
  <c r="E66" i="37" s="1"/>
  <c r="D65" i="37"/>
  <c r="E65" i="37" s="1"/>
  <c r="D64" i="37"/>
  <c r="D63" i="37"/>
  <c r="E63" i="37" s="1"/>
  <c r="D62" i="37"/>
  <c r="D61" i="37"/>
  <c r="E61" i="37" s="1"/>
  <c r="D60" i="37"/>
  <c r="E60" i="37" s="1"/>
  <c r="D59" i="37"/>
  <c r="E59" i="37" s="1"/>
  <c r="D57" i="37"/>
  <c r="E57" i="37" s="1"/>
  <c r="D56" i="37"/>
  <c r="D55" i="37"/>
  <c r="E55" i="37" s="1"/>
  <c r="D54" i="37"/>
  <c r="E54" i="37" s="1"/>
  <c r="D53" i="37"/>
  <c r="E53" i="37" s="1"/>
  <c r="D52" i="37"/>
  <c r="E52" i="37" s="1"/>
  <c r="D51" i="37"/>
  <c r="E51" i="37" s="1"/>
  <c r="D50" i="37"/>
  <c r="E50" i="37" s="1"/>
  <c r="D49" i="37"/>
  <c r="D47" i="37"/>
  <c r="E47" i="37" s="1"/>
  <c r="D46" i="37"/>
  <c r="E46" i="37" s="1"/>
  <c r="D45" i="37"/>
  <c r="E45" i="37" s="1"/>
  <c r="D43" i="37"/>
  <c r="E43" i="37" s="1"/>
  <c r="D42" i="37"/>
  <c r="E42" i="37" s="1"/>
  <c r="D41" i="37"/>
  <c r="E41" i="37" s="1"/>
  <c r="D40" i="37"/>
  <c r="E40" i="37" s="1"/>
  <c r="D39" i="37"/>
  <c r="D38" i="37"/>
  <c r="E98" i="37"/>
  <c r="H98" i="37"/>
  <c r="E100" i="37"/>
  <c r="E101" i="37"/>
  <c r="E102" i="37"/>
  <c r="E56" i="37"/>
  <c r="E58" i="37"/>
  <c r="E68" i="37"/>
  <c r="E73" i="37"/>
  <c r="E77" i="37"/>
  <c r="E82" i="37"/>
  <c r="E88" i="37"/>
  <c r="E90" i="37"/>
  <c r="C104" i="37"/>
  <c r="E39" i="37"/>
  <c r="E44" i="37"/>
  <c r="E62" i="37"/>
  <c r="E70" i="37"/>
  <c r="E76" i="37"/>
  <c r="E78" i="37"/>
  <c r="E84" i="37"/>
  <c r="E87" i="37"/>
  <c r="E92" i="37"/>
  <c r="E95" i="37"/>
  <c r="J20" i="37"/>
  <c r="J21" i="37" s="1"/>
  <c r="J22" i="37" s="1"/>
  <c r="J23" i="37" s="1"/>
  <c r="J24" i="37" s="1"/>
  <c r="J25" i="37" s="1"/>
  <c r="J26" i="37" s="1"/>
  <c r="J27" i="37" s="1"/>
  <c r="J28" i="37" s="1"/>
  <c r="J29" i="37" s="1"/>
  <c r="J30" i="37" s="1"/>
  <c r="J31" i="37" s="1"/>
  <c r="J32" i="37" s="1"/>
  <c r="J33" i="37" s="1"/>
  <c r="J34" i="37" s="1"/>
  <c r="J35" i="37" s="1"/>
  <c r="J37" i="37" s="1"/>
  <c r="J38" i="37" s="1"/>
  <c r="E27" i="37"/>
  <c r="D35" i="37"/>
  <c r="D31" i="37"/>
  <c r="D28" i="37"/>
  <c r="D25" i="37"/>
  <c r="D22" i="37"/>
  <c r="K7" i="37"/>
  <c r="K8" i="37"/>
  <c r="K9" i="37"/>
  <c r="K10" i="37"/>
  <c r="K11" i="37"/>
  <c r="K12" i="37"/>
  <c r="K18" i="37"/>
  <c r="E9" i="37"/>
  <c r="E7" i="37"/>
  <c r="E102" i="38" l="1"/>
  <c r="G61" i="9" s="1"/>
  <c r="G7" i="37"/>
  <c r="O7" i="37" s="1"/>
  <c r="K33" i="18"/>
  <c r="L33" i="18" s="1"/>
  <c r="K35" i="18"/>
  <c r="L28" i="15"/>
  <c r="L29" i="15"/>
  <c r="E49" i="37"/>
  <c r="G9" i="37"/>
  <c r="O9" i="37" s="1"/>
  <c r="J27" i="17"/>
  <c r="K27" i="17" s="1"/>
  <c r="J14" i="32"/>
  <c r="J12" i="22"/>
  <c r="K14" i="31"/>
  <c r="J14" i="33"/>
  <c r="J12" i="20"/>
  <c r="N95" i="40"/>
  <c r="J17" i="40"/>
  <c r="I18" i="40"/>
  <c r="J18" i="40" s="1"/>
  <c r="I19" i="40"/>
  <c r="E95" i="39"/>
  <c r="G64" i="9" s="1"/>
  <c r="L95" i="39"/>
  <c r="K95" i="39"/>
  <c r="J13" i="39"/>
  <c r="N102" i="38"/>
  <c r="I20" i="38"/>
  <c r="J19" i="38"/>
  <c r="K102" i="38"/>
  <c r="K38" i="37"/>
  <c r="J39" i="37"/>
  <c r="E64" i="37"/>
  <c r="E86" i="37"/>
  <c r="E38" i="37"/>
  <c r="G102" i="37"/>
  <c r="O102" i="37" s="1"/>
  <c r="G100" i="37"/>
  <c r="O100" i="37" s="1"/>
  <c r="G98" i="37"/>
  <c r="O98" i="37" s="1"/>
  <c r="G101" i="37"/>
  <c r="O101" i="37" s="1"/>
  <c r="G99" i="37"/>
  <c r="O99" i="37" s="1"/>
  <c r="H99" i="37"/>
  <c r="D104" i="37"/>
  <c r="G81" i="9" l="1"/>
  <c r="G78" i="9"/>
  <c r="L30" i="15"/>
  <c r="L31" i="15"/>
  <c r="K37" i="18"/>
  <c r="J28" i="17"/>
  <c r="K15" i="31"/>
  <c r="J13" i="20"/>
  <c r="K13" i="20" s="1"/>
  <c r="J15" i="32"/>
  <c r="J15" i="33"/>
  <c r="J13" i="22"/>
  <c r="K13" i="22" s="1"/>
  <c r="I20" i="40"/>
  <c r="I21" i="38"/>
  <c r="J20" i="38"/>
  <c r="J40" i="37"/>
  <c r="K39" i="37"/>
  <c r="H103" i="37"/>
  <c r="H97" i="37"/>
  <c r="H96" i="37"/>
  <c r="H95" i="37"/>
  <c r="H94" i="37"/>
  <c r="H93" i="37"/>
  <c r="G93" i="37"/>
  <c r="O93" i="37" s="1"/>
  <c r="H92" i="37"/>
  <c r="H91" i="37"/>
  <c r="H90" i="37"/>
  <c r="H89" i="37"/>
  <c r="H88" i="37"/>
  <c r="H87" i="37"/>
  <c r="H86" i="37"/>
  <c r="H85" i="37"/>
  <c r="H84" i="37"/>
  <c r="H83" i="37"/>
  <c r="H82" i="37"/>
  <c r="H81" i="37"/>
  <c r="H80" i="37"/>
  <c r="H79" i="37"/>
  <c r="H78" i="37"/>
  <c r="H77" i="37"/>
  <c r="H76" i="37"/>
  <c r="H75" i="37"/>
  <c r="H74" i="37"/>
  <c r="H73" i="37"/>
  <c r="H72" i="37"/>
  <c r="H71" i="37"/>
  <c r="H70" i="37"/>
  <c r="H69" i="37"/>
  <c r="H68" i="37"/>
  <c r="H67" i="37"/>
  <c r="H66" i="37"/>
  <c r="H65" i="37"/>
  <c r="H64" i="37"/>
  <c r="H63" i="37"/>
  <c r="H62" i="37"/>
  <c r="H61" i="37"/>
  <c r="H60" i="37"/>
  <c r="H59" i="37"/>
  <c r="G59" i="37"/>
  <c r="O59" i="37" s="1"/>
  <c r="H58" i="37"/>
  <c r="H57" i="37"/>
  <c r="H56" i="37"/>
  <c r="H55" i="37"/>
  <c r="H54" i="37"/>
  <c r="H53" i="37"/>
  <c r="H52" i="37"/>
  <c r="G52" i="37"/>
  <c r="O52" i="37" s="1"/>
  <c r="H51" i="37"/>
  <c r="H50" i="37"/>
  <c r="H49" i="37"/>
  <c r="H48" i="37"/>
  <c r="H47" i="37"/>
  <c r="G47" i="37"/>
  <c r="O47" i="37" s="1"/>
  <c r="H46" i="37"/>
  <c r="H45" i="37"/>
  <c r="H44" i="37"/>
  <c r="H43" i="37"/>
  <c r="H42" i="37"/>
  <c r="H41" i="37"/>
  <c r="H40" i="37"/>
  <c r="H39" i="37"/>
  <c r="H38" i="37"/>
  <c r="K37" i="37"/>
  <c r="F37" i="37"/>
  <c r="C36" i="37"/>
  <c r="K35" i="37"/>
  <c r="H35" i="37"/>
  <c r="E35" i="37"/>
  <c r="G35" i="37" s="1"/>
  <c r="O35" i="37" s="1"/>
  <c r="K34" i="37"/>
  <c r="H34" i="37"/>
  <c r="E34" i="37"/>
  <c r="K33" i="37"/>
  <c r="H33" i="37"/>
  <c r="E33" i="37"/>
  <c r="G33" i="37" s="1"/>
  <c r="O33" i="37" s="1"/>
  <c r="H32" i="37"/>
  <c r="K31" i="37"/>
  <c r="H31" i="37"/>
  <c r="E31" i="37"/>
  <c r="H30" i="37"/>
  <c r="H29" i="37"/>
  <c r="K28" i="37"/>
  <c r="H28" i="37"/>
  <c r="K27" i="37"/>
  <c r="H27" i="37"/>
  <c r="G27" i="37"/>
  <c r="O27" i="37" s="1"/>
  <c r="K26" i="37"/>
  <c r="H26" i="37"/>
  <c r="K25" i="37"/>
  <c r="H25" i="37"/>
  <c r="K24" i="37"/>
  <c r="H24" i="37"/>
  <c r="K23" i="37"/>
  <c r="H23" i="37"/>
  <c r="E23" i="37"/>
  <c r="K22" i="37"/>
  <c r="H22" i="37"/>
  <c r="H21" i="37"/>
  <c r="M20" i="37"/>
  <c r="M21" i="37" s="1"/>
  <c r="K20" i="37"/>
  <c r="F20" i="37"/>
  <c r="K19" i="37"/>
  <c r="C19" i="37"/>
  <c r="N18" i="37"/>
  <c r="H18" i="37"/>
  <c r="E18" i="37"/>
  <c r="G18" i="37" s="1"/>
  <c r="O18" i="37" s="1"/>
  <c r="N17" i="37"/>
  <c r="H17" i="37"/>
  <c r="N16" i="37"/>
  <c r="H16" i="37"/>
  <c r="E16" i="37"/>
  <c r="G16" i="37" s="1"/>
  <c r="O16" i="37" s="1"/>
  <c r="N15" i="37"/>
  <c r="H15" i="37"/>
  <c r="N14" i="37"/>
  <c r="H14" i="37"/>
  <c r="E14" i="37"/>
  <c r="N13" i="37"/>
  <c r="H13" i="37"/>
  <c r="N12" i="37"/>
  <c r="H12" i="37"/>
  <c r="N11" i="37"/>
  <c r="H11" i="37"/>
  <c r="N10" i="37"/>
  <c r="H10" i="37"/>
  <c r="N9" i="37"/>
  <c r="H9" i="37"/>
  <c r="N8" i="37"/>
  <c r="H8" i="37"/>
  <c r="N7" i="37"/>
  <c r="H7" i="37"/>
  <c r="N6" i="37"/>
  <c r="K6" i="37"/>
  <c r="H6" i="37"/>
  <c r="N5" i="37"/>
  <c r="F5" i="37"/>
  <c r="E5" i="37"/>
  <c r="G5" i="37" s="1"/>
  <c r="O5" i="37" s="1"/>
  <c r="A54" i="9"/>
  <c r="D100" i="36"/>
  <c r="C100" i="36"/>
  <c r="F99" i="36"/>
  <c r="E99" i="36"/>
  <c r="M99" i="36" s="1"/>
  <c r="F98" i="36"/>
  <c r="E98" i="36"/>
  <c r="M98" i="36" s="1"/>
  <c r="F97" i="36"/>
  <c r="E97" i="36"/>
  <c r="M97" i="36" s="1"/>
  <c r="F96" i="36"/>
  <c r="E96" i="36"/>
  <c r="M96" i="36" s="1"/>
  <c r="F95" i="36"/>
  <c r="E95" i="36"/>
  <c r="M95" i="36" s="1"/>
  <c r="F94" i="36"/>
  <c r="E94" i="36"/>
  <c r="M94" i="36" s="1"/>
  <c r="F93" i="36"/>
  <c r="E93" i="36"/>
  <c r="M93" i="36" s="1"/>
  <c r="F92" i="36"/>
  <c r="E92" i="36"/>
  <c r="M92" i="36" s="1"/>
  <c r="F91" i="36"/>
  <c r="E91" i="36"/>
  <c r="M91" i="36" s="1"/>
  <c r="F90" i="36"/>
  <c r="E90" i="36"/>
  <c r="M90" i="36" s="1"/>
  <c r="F89" i="36"/>
  <c r="E89" i="36"/>
  <c r="M89" i="36" s="1"/>
  <c r="F88" i="36"/>
  <c r="E88" i="36"/>
  <c r="M88" i="36" s="1"/>
  <c r="F87" i="36"/>
  <c r="E87" i="36"/>
  <c r="M87" i="36" s="1"/>
  <c r="F86" i="36"/>
  <c r="E86" i="36"/>
  <c r="M86" i="36" s="1"/>
  <c r="F85" i="36"/>
  <c r="E85" i="36"/>
  <c r="M85" i="36" s="1"/>
  <c r="F84" i="36"/>
  <c r="E84" i="36"/>
  <c r="M84" i="36" s="1"/>
  <c r="F83" i="36"/>
  <c r="E83" i="36"/>
  <c r="M83" i="36" s="1"/>
  <c r="F82" i="36"/>
  <c r="E82" i="36"/>
  <c r="M82" i="36" s="1"/>
  <c r="F81" i="36"/>
  <c r="E81" i="36"/>
  <c r="M81" i="36" s="1"/>
  <c r="F80" i="36"/>
  <c r="E80" i="36"/>
  <c r="M80" i="36" s="1"/>
  <c r="F79" i="36"/>
  <c r="E79" i="36"/>
  <c r="M79" i="36" s="1"/>
  <c r="F78" i="36"/>
  <c r="E78" i="36"/>
  <c r="M78" i="36" s="1"/>
  <c r="F77" i="36"/>
  <c r="E77" i="36"/>
  <c r="M77" i="36" s="1"/>
  <c r="F76" i="36"/>
  <c r="E76" i="36"/>
  <c r="M76" i="36" s="1"/>
  <c r="F75" i="36"/>
  <c r="E75" i="36"/>
  <c r="M75" i="36" s="1"/>
  <c r="F74" i="36"/>
  <c r="E74" i="36"/>
  <c r="M74" i="36" s="1"/>
  <c r="F73" i="36"/>
  <c r="E73" i="36"/>
  <c r="M73" i="36" s="1"/>
  <c r="F72" i="36"/>
  <c r="E72" i="36"/>
  <c r="M72" i="36" s="1"/>
  <c r="F71" i="36"/>
  <c r="E71" i="36"/>
  <c r="M71" i="36" s="1"/>
  <c r="F70" i="36"/>
  <c r="E70" i="36"/>
  <c r="M70" i="36" s="1"/>
  <c r="F69" i="36"/>
  <c r="E69" i="36"/>
  <c r="M69" i="36" s="1"/>
  <c r="F68" i="36"/>
  <c r="E68" i="36"/>
  <c r="M68" i="36" s="1"/>
  <c r="F67" i="36"/>
  <c r="E67" i="36"/>
  <c r="M67" i="36" s="1"/>
  <c r="F66" i="36"/>
  <c r="E66" i="36"/>
  <c r="M66" i="36" s="1"/>
  <c r="F65" i="36"/>
  <c r="E65" i="36"/>
  <c r="M65" i="36" s="1"/>
  <c r="F64" i="36"/>
  <c r="E64" i="36"/>
  <c r="M64" i="36" s="1"/>
  <c r="F63" i="36"/>
  <c r="E63" i="36"/>
  <c r="M63" i="36" s="1"/>
  <c r="F62" i="36"/>
  <c r="E62" i="36"/>
  <c r="M62" i="36" s="1"/>
  <c r="F61" i="36"/>
  <c r="E61" i="36"/>
  <c r="M61" i="36" s="1"/>
  <c r="F60" i="36"/>
  <c r="E60" i="36"/>
  <c r="M60" i="36" s="1"/>
  <c r="F59" i="36"/>
  <c r="E59" i="36"/>
  <c r="M59" i="36" s="1"/>
  <c r="F58" i="36"/>
  <c r="E58" i="36"/>
  <c r="M58" i="36" s="1"/>
  <c r="F57" i="36"/>
  <c r="E57" i="36"/>
  <c r="M57" i="36" s="1"/>
  <c r="F56" i="36"/>
  <c r="E56" i="36"/>
  <c r="M56" i="36" s="1"/>
  <c r="F55" i="36"/>
  <c r="E55" i="36"/>
  <c r="M55" i="36" s="1"/>
  <c r="F54" i="36"/>
  <c r="E54" i="36"/>
  <c r="M54" i="36" s="1"/>
  <c r="F53" i="36"/>
  <c r="E53" i="36"/>
  <c r="M53" i="36" s="1"/>
  <c r="F52" i="36"/>
  <c r="E52" i="36"/>
  <c r="M52" i="36" s="1"/>
  <c r="F51" i="36"/>
  <c r="E51" i="36"/>
  <c r="M51" i="36" s="1"/>
  <c r="F50" i="36"/>
  <c r="E50" i="36"/>
  <c r="M50" i="36" s="1"/>
  <c r="F49" i="36"/>
  <c r="E49" i="36"/>
  <c r="M49" i="36" s="1"/>
  <c r="F48" i="36"/>
  <c r="E48" i="36"/>
  <c r="M48" i="36" s="1"/>
  <c r="F47" i="36"/>
  <c r="E47" i="36"/>
  <c r="M47" i="36" s="1"/>
  <c r="F46" i="36"/>
  <c r="E46" i="36"/>
  <c r="M46" i="36" s="1"/>
  <c r="F45" i="36"/>
  <c r="E45" i="36"/>
  <c r="M45" i="36" s="1"/>
  <c r="F44" i="36"/>
  <c r="E44" i="36"/>
  <c r="M44" i="36" s="1"/>
  <c r="F43" i="36"/>
  <c r="E43" i="36"/>
  <c r="M43" i="36" s="1"/>
  <c r="F42" i="36"/>
  <c r="E42" i="36"/>
  <c r="M42" i="36" s="1"/>
  <c r="F41" i="36"/>
  <c r="E41" i="36"/>
  <c r="M41" i="36" s="1"/>
  <c r="F40" i="36"/>
  <c r="E40" i="36"/>
  <c r="M40" i="36" s="1"/>
  <c r="F39" i="36"/>
  <c r="E39" i="36"/>
  <c r="M39" i="36" s="1"/>
  <c r="F38" i="36"/>
  <c r="E38" i="36"/>
  <c r="M38" i="36" s="1"/>
  <c r="F37" i="36"/>
  <c r="E37" i="36"/>
  <c r="M37" i="36" s="1"/>
  <c r="F36" i="36"/>
  <c r="E36" i="36"/>
  <c r="M36" i="36" s="1"/>
  <c r="F35" i="36"/>
  <c r="E35" i="36"/>
  <c r="M35" i="36" s="1"/>
  <c r="F34" i="36"/>
  <c r="E34" i="36"/>
  <c r="M34" i="36" s="1"/>
  <c r="F33" i="36"/>
  <c r="E33" i="36"/>
  <c r="M33" i="36" s="1"/>
  <c r="F32" i="36"/>
  <c r="E32" i="36"/>
  <c r="M32" i="36" s="1"/>
  <c r="F31" i="36"/>
  <c r="E31" i="36"/>
  <c r="M31" i="36" s="1"/>
  <c r="F30" i="36"/>
  <c r="E30" i="36"/>
  <c r="M30" i="36" s="1"/>
  <c r="F29" i="36"/>
  <c r="E29" i="36"/>
  <c r="M29" i="36" s="1"/>
  <c r="F28" i="36"/>
  <c r="E28" i="36"/>
  <c r="M28" i="36" s="1"/>
  <c r="F27" i="36"/>
  <c r="E27" i="36"/>
  <c r="M27" i="36" s="1"/>
  <c r="F26" i="36"/>
  <c r="E26" i="36"/>
  <c r="M26" i="36" s="1"/>
  <c r="F25" i="36"/>
  <c r="E25" i="36"/>
  <c r="M25" i="36" s="1"/>
  <c r="F24" i="36"/>
  <c r="E24" i="36"/>
  <c r="M24" i="36" s="1"/>
  <c r="F23" i="36"/>
  <c r="E23" i="36"/>
  <c r="M23" i="36" s="1"/>
  <c r="F22" i="36"/>
  <c r="E22" i="36"/>
  <c r="M22" i="36" s="1"/>
  <c r="F21" i="36"/>
  <c r="E21" i="36"/>
  <c r="M21" i="36" s="1"/>
  <c r="F20" i="36"/>
  <c r="E20" i="36"/>
  <c r="M20" i="36" s="1"/>
  <c r="F19" i="36"/>
  <c r="E19" i="36"/>
  <c r="M19" i="36" s="1"/>
  <c r="F18" i="36"/>
  <c r="E18" i="36"/>
  <c r="M18" i="36" s="1"/>
  <c r="K17" i="36"/>
  <c r="K18" i="36" s="1"/>
  <c r="K19" i="36" s="1"/>
  <c r="K20" i="36" s="1"/>
  <c r="K21" i="36" s="1"/>
  <c r="K22" i="36" s="1"/>
  <c r="K23" i="36" s="1"/>
  <c r="K24" i="36" s="1"/>
  <c r="K25" i="36" s="1"/>
  <c r="K26" i="36" s="1"/>
  <c r="K27" i="36" s="1"/>
  <c r="K28" i="36" s="1"/>
  <c r="K29" i="36" s="1"/>
  <c r="K30" i="36" s="1"/>
  <c r="K31" i="36" s="1"/>
  <c r="F17" i="36"/>
  <c r="E17" i="36"/>
  <c r="M17" i="36" s="1"/>
  <c r="F16" i="36"/>
  <c r="E16" i="36"/>
  <c r="M16" i="36" s="1"/>
  <c r="F15" i="36"/>
  <c r="E15" i="36"/>
  <c r="M15" i="36" s="1"/>
  <c r="F14" i="36"/>
  <c r="E14" i="36"/>
  <c r="M14" i="36" s="1"/>
  <c r="F13" i="36"/>
  <c r="E13" i="36"/>
  <c r="M13" i="36" s="1"/>
  <c r="F12" i="36"/>
  <c r="E12" i="36"/>
  <c r="M12" i="36" s="1"/>
  <c r="F11" i="36"/>
  <c r="E11" i="36"/>
  <c r="M11" i="36" s="1"/>
  <c r="F10" i="36"/>
  <c r="F9" i="36"/>
  <c r="F8" i="36"/>
  <c r="E8" i="36"/>
  <c r="M8" i="36" s="1"/>
  <c r="F7" i="36"/>
  <c r="E7" i="36"/>
  <c r="M7" i="36" s="1"/>
  <c r="K6" i="36"/>
  <c r="K7" i="36" s="1"/>
  <c r="K8" i="36" s="1"/>
  <c r="K9" i="36" s="1"/>
  <c r="K10" i="36" s="1"/>
  <c r="K11" i="36" s="1"/>
  <c r="K12" i="36" s="1"/>
  <c r="K13" i="36" s="1"/>
  <c r="K14" i="36" s="1"/>
  <c r="K15" i="36" s="1"/>
  <c r="K16" i="36" s="1"/>
  <c r="H6" i="36"/>
  <c r="H7" i="36" s="1"/>
  <c r="H8" i="36" s="1"/>
  <c r="H9" i="36" s="1"/>
  <c r="F6" i="36"/>
  <c r="E6" i="36"/>
  <c r="F5" i="36"/>
  <c r="E5" i="36"/>
  <c r="M5" i="36" s="1"/>
  <c r="A51" i="9"/>
  <c r="F6" i="35"/>
  <c r="F7" i="35"/>
  <c r="F8" i="35"/>
  <c r="F9" i="35"/>
  <c r="F10" i="35"/>
  <c r="F11" i="35"/>
  <c r="F12" i="35"/>
  <c r="F13" i="35"/>
  <c r="F14" i="35"/>
  <c r="F15" i="35"/>
  <c r="F16" i="35"/>
  <c r="F17" i="35"/>
  <c r="F18" i="35"/>
  <c r="F19" i="35"/>
  <c r="F20" i="35"/>
  <c r="F21" i="35"/>
  <c r="F22" i="35"/>
  <c r="F23" i="35"/>
  <c r="F24" i="35"/>
  <c r="F25" i="35"/>
  <c r="F26" i="35"/>
  <c r="F27" i="35"/>
  <c r="F28" i="35"/>
  <c r="F29" i="35"/>
  <c r="F30" i="35"/>
  <c r="F31" i="35"/>
  <c r="F32" i="35"/>
  <c r="F33" i="35"/>
  <c r="F34" i="35"/>
  <c r="F35" i="35"/>
  <c r="F36" i="35"/>
  <c r="F37" i="35"/>
  <c r="F38" i="35"/>
  <c r="F39" i="35"/>
  <c r="F40" i="35"/>
  <c r="F41" i="35"/>
  <c r="F42" i="35"/>
  <c r="F43" i="35"/>
  <c r="F44" i="35"/>
  <c r="F45" i="35"/>
  <c r="F46" i="35"/>
  <c r="F47" i="35"/>
  <c r="F48" i="35"/>
  <c r="F49" i="35"/>
  <c r="F50" i="35"/>
  <c r="F51" i="35"/>
  <c r="F52" i="35"/>
  <c r="F53" i="35"/>
  <c r="F54" i="35"/>
  <c r="F55" i="35"/>
  <c r="F56" i="35"/>
  <c r="F57" i="35"/>
  <c r="F58" i="35"/>
  <c r="F59" i="35"/>
  <c r="F60" i="35"/>
  <c r="F61" i="35"/>
  <c r="F62" i="35"/>
  <c r="F63" i="35"/>
  <c r="F64" i="35"/>
  <c r="F65" i="35"/>
  <c r="F66" i="35"/>
  <c r="F67" i="35"/>
  <c r="F68" i="35"/>
  <c r="F69" i="35"/>
  <c r="F70" i="35"/>
  <c r="F71" i="35"/>
  <c r="F72" i="35"/>
  <c r="F73" i="35"/>
  <c r="F74" i="35"/>
  <c r="F75" i="35"/>
  <c r="F76" i="35"/>
  <c r="F77" i="35"/>
  <c r="F78" i="35"/>
  <c r="F79" i="35"/>
  <c r="F80" i="35"/>
  <c r="F81" i="35"/>
  <c r="F82" i="35"/>
  <c r="F83" i="35"/>
  <c r="F84" i="35"/>
  <c r="F85" i="35"/>
  <c r="F86" i="35"/>
  <c r="F87" i="35"/>
  <c r="F88" i="35"/>
  <c r="F89" i="35"/>
  <c r="F90" i="35"/>
  <c r="F91" i="35"/>
  <c r="F92" i="35"/>
  <c r="F93" i="35"/>
  <c r="F94" i="35"/>
  <c r="F95" i="35"/>
  <c r="F96" i="35"/>
  <c r="F97" i="35"/>
  <c r="F98" i="35"/>
  <c r="F99" i="35"/>
  <c r="F100" i="35"/>
  <c r="F101" i="35"/>
  <c r="F102" i="35"/>
  <c r="F103" i="35"/>
  <c r="F104" i="35"/>
  <c r="F105" i="35"/>
  <c r="F106" i="35"/>
  <c r="D107" i="35"/>
  <c r="E6" i="35"/>
  <c r="M6" i="35" s="1"/>
  <c r="E7" i="35"/>
  <c r="M7" i="35" s="1"/>
  <c r="E8" i="35"/>
  <c r="M8" i="35" s="1"/>
  <c r="E11" i="35"/>
  <c r="M11" i="35" s="1"/>
  <c r="E12" i="35"/>
  <c r="M12" i="35" s="1"/>
  <c r="E13" i="35"/>
  <c r="M13" i="35" s="1"/>
  <c r="E14" i="35"/>
  <c r="M14" i="35" s="1"/>
  <c r="E15" i="35"/>
  <c r="M15" i="35" s="1"/>
  <c r="E16" i="35"/>
  <c r="M16" i="35" s="1"/>
  <c r="E17" i="35"/>
  <c r="M17" i="35" s="1"/>
  <c r="E18" i="35"/>
  <c r="M18" i="35" s="1"/>
  <c r="E19" i="35"/>
  <c r="M19" i="35" s="1"/>
  <c r="E20" i="35"/>
  <c r="M20" i="35" s="1"/>
  <c r="E21" i="35"/>
  <c r="M21" i="35" s="1"/>
  <c r="E22" i="35"/>
  <c r="M22" i="35" s="1"/>
  <c r="E23" i="35"/>
  <c r="M23" i="35" s="1"/>
  <c r="E24" i="35"/>
  <c r="M24" i="35" s="1"/>
  <c r="E25" i="35"/>
  <c r="M25" i="35" s="1"/>
  <c r="E26" i="35"/>
  <c r="M26" i="35" s="1"/>
  <c r="E27" i="35"/>
  <c r="M27" i="35" s="1"/>
  <c r="E28" i="35"/>
  <c r="M28" i="35" s="1"/>
  <c r="E29" i="35"/>
  <c r="M29" i="35" s="1"/>
  <c r="E30" i="35"/>
  <c r="M30" i="35" s="1"/>
  <c r="E31" i="35"/>
  <c r="M31" i="35" s="1"/>
  <c r="E32" i="35"/>
  <c r="M32" i="35" s="1"/>
  <c r="E33" i="35"/>
  <c r="M33" i="35" s="1"/>
  <c r="E34" i="35"/>
  <c r="M34" i="35" s="1"/>
  <c r="E35" i="35"/>
  <c r="M35" i="35" s="1"/>
  <c r="E36" i="35"/>
  <c r="M36" i="35" s="1"/>
  <c r="E37" i="35"/>
  <c r="M37" i="35" s="1"/>
  <c r="E38" i="35"/>
  <c r="M38" i="35" s="1"/>
  <c r="E39" i="35"/>
  <c r="M39" i="35" s="1"/>
  <c r="E40" i="35"/>
  <c r="M40" i="35" s="1"/>
  <c r="E41" i="35"/>
  <c r="M41" i="35" s="1"/>
  <c r="E42" i="35"/>
  <c r="M42" i="35" s="1"/>
  <c r="E43" i="35"/>
  <c r="M43" i="35" s="1"/>
  <c r="E44" i="35"/>
  <c r="M44" i="35" s="1"/>
  <c r="E45" i="35"/>
  <c r="M45" i="35" s="1"/>
  <c r="E46" i="35"/>
  <c r="M46" i="35" s="1"/>
  <c r="E47" i="35"/>
  <c r="M47" i="35" s="1"/>
  <c r="E48" i="35"/>
  <c r="M48" i="35" s="1"/>
  <c r="E49" i="35"/>
  <c r="M49" i="35" s="1"/>
  <c r="E50" i="35"/>
  <c r="M50" i="35" s="1"/>
  <c r="E51" i="35"/>
  <c r="M51" i="35" s="1"/>
  <c r="E52" i="35"/>
  <c r="M52" i="35" s="1"/>
  <c r="E53" i="35"/>
  <c r="M53" i="35" s="1"/>
  <c r="E54" i="35"/>
  <c r="M54" i="35" s="1"/>
  <c r="E55" i="35"/>
  <c r="M55" i="35" s="1"/>
  <c r="E56" i="35"/>
  <c r="M56" i="35" s="1"/>
  <c r="E57" i="35"/>
  <c r="M57" i="35" s="1"/>
  <c r="E58" i="35"/>
  <c r="M58" i="35" s="1"/>
  <c r="E59" i="35"/>
  <c r="M59" i="35" s="1"/>
  <c r="E60" i="35"/>
  <c r="M60" i="35" s="1"/>
  <c r="E61" i="35"/>
  <c r="M61" i="35" s="1"/>
  <c r="E62" i="35"/>
  <c r="M62" i="35" s="1"/>
  <c r="E63" i="35"/>
  <c r="M63" i="35" s="1"/>
  <c r="E64" i="35"/>
  <c r="M64" i="35" s="1"/>
  <c r="E65" i="35"/>
  <c r="M65" i="35" s="1"/>
  <c r="E66" i="35"/>
  <c r="M66" i="35" s="1"/>
  <c r="E67" i="35"/>
  <c r="M67" i="35" s="1"/>
  <c r="E68" i="35"/>
  <c r="M68" i="35" s="1"/>
  <c r="E69" i="35"/>
  <c r="M69" i="35" s="1"/>
  <c r="E70" i="35"/>
  <c r="M70" i="35" s="1"/>
  <c r="E71" i="35"/>
  <c r="M71" i="35" s="1"/>
  <c r="E72" i="35"/>
  <c r="M72" i="35" s="1"/>
  <c r="E73" i="35"/>
  <c r="M73" i="35" s="1"/>
  <c r="E74" i="35"/>
  <c r="M74" i="35" s="1"/>
  <c r="E75" i="35"/>
  <c r="M75" i="35" s="1"/>
  <c r="E76" i="35"/>
  <c r="M76" i="35" s="1"/>
  <c r="E77" i="35"/>
  <c r="M77" i="35" s="1"/>
  <c r="E78" i="35"/>
  <c r="M78" i="35" s="1"/>
  <c r="E79" i="35"/>
  <c r="M79" i="35" s="1"/>
  <c r="E80" i="35"/>
  <c r="M80" i="35" s="1"/>
  <c r="E81" i="35"/>
  <c r="M81" i="35" s="1"/>
  <c r="E82" i="35"/>
  <c r="M82" i="35" s="1"/>
  <c r="E83" i="35"/>
  <c r="M83" i="35" s="1"/>
  <c r="E84" i="35"/>
  <c r="M84" i="35" s="1"/>
  <c r="E85" i="35"/>
  <c r="M85" i="35" s="1"/>
  <c r="E86" i="35"/>
  <c r="M86" i="35" s="1"/>
  <c r="E87" i="35"/>
  <c r="M87" i="35" s="1"/>
  <c r="E88" i="35"/>
  <c r="M88" i="35" s="1"/>
  <c r="E89" i="35"/>
  <c r="M89" i="35" s="1"/>
  <c r="E90" i="35"/>
  <c r="M90" i="35" s="1"/>
  <c r="E91" i="35"/>
  <c r="M91" i="35" s="1"/>
  <c r="E92" i="35"/>
  <c r="M92" i="35" s="1"/>
  <c r="E93" i="35"/>
  <c r="M93" i="35" s="1"/>
  <c r="E94" i="35"/>
  <c r="M94" i="35" s="1"/>
  <c r="E95" i="35"/>
  <c r="M95" i="35" s="1"/>
  <c r="E96" i="35"/>
  <c r="M96" i="35" s="1"/>
  <c r="E97" i="35"/>
  <c r="M97" i="35" s="1"/>
  <c r="E98" i="35"/>
  <c r="M98" i="35" s="1"/>
  <c r="E99" i="35"/>
  <c r="M99" i="35" s="1"/>
  <c r="E100" i="35"/>
  <c r="M100" i="35" s="1"/>
  <c r="E101" i="35"/>
  <c r="M101" i="35" s="1"/>
  <c r="E102" i="35"/>
  <c r="M102" i="35" s="1"/>
  <c r="E103" i="35"/>
  <c r="M103" i="35" s="1"/>
  <c r="E104" i="35"/>
  <c r="M104" i="35" s="1"/>
  <c r="E105" i="35"/>
  <c r="M105" i="35" s="1"/>
  <c r="E106" i="35"/>
  <c r="M106" i="35" s="1"/>
  <c r="E5" i="35"/>
  <c r="M5" i="35" s="1"/>
  <c r="C107" i="35"/>
  <c r="E100" i="36" l="1"/>
  <c r="G54" i="9" s="1"/>
  <c r="M6" i="36"/>
  <c r="L32" i="15"/>
  <c r="M30" i="15"/>
  <c r="L33" i="15"/>
  <c r="M100" i="36"/>
  <c r="M107" i="35"/>
  <c r="E107" i="35"/>
  <c r="G51" i="9" s="1"/>
  <c r="K38" i="18"/>
  <c r="J29" i="17"/>
  <c r="J16" i="33"/>
  <c r="J16" i="32"/>
  <c r="J14" i="20"/>
  <c r="J14" i="22"/>
  <c r="K16" i="31"/>
  <c r="I21" i="40"/>
  <c r="J15" i="39"/>
  <c r="I16" i="39"/>
  <c r="I17" i="39" s="1"/>
  <c r="J17" i="39" s="1"/>
  <c r="I22" i="38"/>
  <c r="J21" i="38"/>
  <c r="H20" i="37"/>
  <c r="H36" i="37" s="1"/>
  <c r="F36" i="37"/>
  <c r="H37" i="37"/>
  <c r="H104" i="37" s="1"/>
  <c r="F104" i="37"/>
  <c r="G14" i="37"/>
  <c r="O14" i="37" s="1"/>
  <c r="H5" i="37"/>
  <c r="F19" i="37"/>
  <c r="K40" i="37"/>
  <c r="J41" i="37"/>
  <c r="G76" i="37"/>
  <c r="O76" i="37" s="1"/>
  <c r="G74" i="37"/>
  <c r="O74" i="37" s="1"/>
  <c r="G23" i="37"/>
  <c r="O23" i="37" s="1"/>
  <c r="G40" i="37"/>
  <c r="O40" i="37" s="1"/>
  <c r="G81" i="37"/>
  <c r="O81" i="37" s="1"/>
  <c r="G67" i="37"/>
  <c r="O67" i="37" s="1"/>
  <c r="G44" i="37"/>
  <c r="O44" i="37" s="1"/>
  <c r="G83" i="37"/>
  <c r="O83" i="37" s="1"/>
  <c r="C105" i="37"/>
  <c r="G31" i="37"/>
  <c r="O31" i="37" s="1"/>
  <c r="G46" i="37"/>
  <c r="O46" i="37" s="1"/>
  <c r="G56" i="37"/>
  <c r="O56" i="37" s="1"/>
  <c r="G66" i="37"/>
  <c r="O66" i="37" s="1"/>
  <c r="G70" i="37"/>
  <c r="O70" i="37" s="1"/>
  <c r="G75" i="37"/>
  <c r="O75" i="37" s="1"/>
  <c r="G77" i="37"/>
  <c r="O77" i="37" s="1"/>
  <c r="G88" i="37"/>
  <c r="O88" i="37" s="1"/>
  <c r="G48" i="37"/>
  <c r="O48" i="37" s="1"/>
  <c r="G63" i="37"/>
  <c r="O63" i="37" s="1"/>
  <c r="G55" i="37"/>
  <c r="O55" i="37" s="1"/>
  <c r="G89" i="37"/>
  <c r="O89" i="37" s="1"/>
  <c r="G58" i="37"/>
  <c r="O58" i="37" s="1"/>
  <c r="G71" i="37"/>
  <c r="O71" i="37" s="1"/>
  <c r="G79" i="37"/>
  <c r="O79" i="37" s="1"/>
  <c r="G82" i="37"/>
  <c r="O82" i="37" s="1"/>
  <c r="G84" i="37"/>
  <c r="O84" i="37" s="1"/>
  <c r="G97" i="37"/>
  <c r="O97" i="37" s="1"/>
  <c r="G39" i="37"/>
  <c r="O39" i="37" s="1"/>
  <c r="G54" i="37"/>
  <c r="O54" i="37" s="1"/>
  <c r="G61" i="37"/>
  <c r="O61" i="37" s="1"/>
  <c r="G69" i="37"/>
  <c r="O69" i="37" s="1"/>
  <c r="G86" i="37"/>
  <c r="O86" i="37" s="1"/>
  <c r="G91" i="37"/>
  <c r="O91" i="37" s="1"/>
  <c r="G103" i="37"/>
  <c r="O103" i="37" s="1"/>
  <c r="G72" i="37"/>
  <c r="O72" i="37" s="1"/>
  <c r="G94" i="37"/>
  <c r="O94" i="37" s="1"/>
  <c r="G87" i="37"/>
  <c r="O87" i="37" s="1"/>
  <c r="G43" i="37"/>
  <c r="O43" i="37" s="1"/>
  <c r="G50" i="37"/>
  <c r="O50" i="37" s="1"/>
  <c r="G57" i="37"/>
  <c r="O57" i="37" s="1"/>
  <c r="G65" i="37"/>
  <c r="O65" i="37" s="1"/>
  <c r="G73" i="37"/>
  <c r="O73" i="37" s="1"/>
  <c r="G80" i="37"/>
  <c r="O80" i="37" s="1"/>
  <c r="G95" i="37"/>
  <c r="O95" i="37" s="1"/>
  <c r="G53" i="37"/>
  <c r="O53" i="37" s="1"/>
  <c r="G78" i="37"/>
  <c r="O78" i="37" s="1"/>
  <c r="G85" i="37"/>
  <c r="O85" i="37" s="1"/>
  <c r="G90" i="37"/>
  <c r="O90" i="37" s="1"/>
  <c r="G34" i="37"/>
  <c r="O34" i="37" s="1"/>
  <c r="E30" i="37"/>
  <c r="G30" i="37" s="1"/>
  <c r="O30" i="37" s="1"/>
  <c r="G38" i="37"/>
  <c r="O38" i="37" s="1"/>
  <c r="E17" i="37"/>
  <c r="E21" i="37"/>
  <c r="G21" i="37" s="1"/>
  <c r="O21" i="37" s="1"/>
  <c r="E25" i="37"/>
  <c r="G25" i="37" s="1"/>
  <c r="O25" i="37" s="1"/>
  <c r="E37" i="37"/>
  <c r="G42" i="37"/>
  <c r="O42" i="37" s="1"/>
  <c r="G45" i="37"/>
  <c r="O45" i="37" s="1"/>
  <c r="G92" i="37"/>
  <c r="O92" i="37" s="1"/>
  <c r="D36" i="37"/>
  <c r="E29" i="37"/>
  <c r="G29" i="37" s="1"/>
  <c r="O29" i="37" s="1"/>
  <c r="G49" i="37"/>
  <c r="O49" i="37" s="1"/>
  <c r="G60" i="37"/>
  <c r="O60" i="37" s="1"/>
  <c r="G62" i="37"/>
  <c r="O62" i="37" s="1"/>
  <c r="G96" i="37"/>
  <c r="O96" i="37" s="1"/>
  <c r="E15" i="37"/>
  <c r="E22" i="37"/>
  <c r="G22" i="37" s="1"/>
  <c r="O22" i="37" s="1"/>
  <c r="G26" i="37"/>
  <c r="O26" i="37" s="1"/>
  <c r="G41" i="37"/>
  <c r="O41" i="37" s="1"/>
  <c r="G51" i="37"/>
  <c r="O51" i="37" s="1"/>
  <c r="G64" i="37"/>
  <c r="O64" i="37" s="1"/>
  <c r="G68" i="37"/>
  <c r="O68" i="37" s="1"/>
  <c r="E13" i="37"/>
  <c r="E10" i="37"/>
  <c r="D19" i="37"/>
  <c r="M22" i="37"/>
  <c r="N21" i="37"/>
  <c r="H19" i="37"/>
  <c r="N20" i="37"/>
  <c r="E11" i="37"/>
  <c r="E24" i="37"/>
  <c r="G24" i="37" s="1"/>
  <c r="O24" i="37" s="1"/>
  <c r="E28" i="37"/>
  <c r="G28" i="37" s="1"/>
  <c r="O28" i="37" s="1"/>
  <c r="E32" i="37"/>
  <c r="G32" i="37" s="1"/>
  <c r="O32" i="37" s="1"/>
  <c r="E12" i="37"/>
  <c r="E20" i="37"/>
  <c r="J100" i="36"/>
  <c r="F100" i="36"/>
  <c r="H10" i="36"/>
  <c r="I9" i="36"/>
  <c r="L35" i="15" l="1"/>
  <c r="L36" i="15" s="1"/>
  <c r="K39" i="18"/>
  <c r="J30" i="17"/>
  <c r="K30" i="17" s="1"/>
  <c r="J15" i="22"/>
  <c r="J15" i="20"/>
  <c r="J18" i="32"/>
  <c r="K18" i="31"/>
  <c r="J18" i="33"/>
  <c r="I22" i="40"/>
  <c r="I18" i="39"/>
  <c r="J18" i="39" s="1"/>
  <c r="I23" i="38"/>
  <c r="I24" i="38" s="1"/>
  <c r="I25" i="38" s="1"/>
  <c r="J22" i="38"/>
  <c r="G10" i="37"/>
  <c r="O10" i="37" s="1"/>
  <c r="G15" i="37"/>
  <c r="O15" i="37" s="1"/>
  <c r="J42" i="37"/>
  <c r="K41" i="37"/>
  <c r="G12" i="37"/>
  <c r="O12" i="37" s="1"/>
  <c r="G11" i="37"/>
  <c r="O11" i="37" s="1"/>
  <c r="G17" i="37"/>
  <c r="O17" i="37" s="1"/>
  <c r="H105" i="37"/>
  <c r="G13" i="37"/>
  <c r="O13" i="37" s="1"/>
  <c r="D105" i="37"/>
  <c r="G37" i="37"/>
  <c r="O37" i="37" s="1"/>
  <c r="O104" i="37" s="1"/>
  <c r="E104" i="37"/>
  <c r="G104" i="37" s="1"/>
  <c r="L105" i="37"/>
  <c r="F105" i="37"/>
  <c r="G58" i="9" s="1"/>
  <c r="E19" i="37"/>
  <c r="G19" i="37" s="1"/>
  <c r="G20" i="37"/>
  <c r="O20" i="37" s="1"/>
  <c r="O36" i="37" s="1"/>
  <c r="E36" i="37"/>
  <c r="G36" i="37" s="1"/>
  <c r="N22" i="37"/>
  <c r="M23" i="37"/>
  <c r="H11" i="36"/>
  <c r="O19" i="37" l="1"/>
  <c r="L37" i="15"/>
  <c r="K40" i="18"/>
  <c r="J31" i="17"/>
  <c r="J19" i="32"/>
  <c r="K19" i="31"/>
  <c r="J16" i="20"/>
  <c r="J20" i="33"/>
  <c r="J19" i="33"/>
  <c r="J16" i="22"/>
  <c r="I23" i="40"/>
  <c r="I19" i="39"/>
  <c r="J19" i="39" s="1"/>
  <c r="I26" i="38"/>
  <c r="I27" i="38" s="1"/>
  <c r="J25" i="38"/>
  <c r="J43" i="37"/>
  <c r="K42" i="37"/>
  <c r="E105" i="37"/>
  <c r="M24" i="37"/>
  <c r="N23" i="37"/>
  <c r="H12" i="36"/>
  <c r="K16" i="35"/>
  <c r="K17" i="35" s="1"/>
  <c r="K18" i="35" s="1"/>
  <c r="K19" i="35" s="1"/>
  <c r="K20" i="35" s="1"/>
  <c r="K21" i="35" s="1"/>
  <c r="K22" i="35" s="1"/>
  <c r="K23" i="35" s="1"/>
  <c r="K24" i="35" s="1"/>
  <c r="K25" i="35" s="1"/>
  <c r="K26" i="35" s="1"/>
  <c r="K27" i="35" s="1"/>
  <c r="K28" i="35" s="1"/>
  <c r="K29" i="35" s="1"/>
  <c r="K30" i="35" s="1"/>
  <c r="K6" i="35"/>
  <c r="K7" i="35" s="1"/>
  <c r="K8" i="35" s="1"/>
  <c r="K9" i="35" s="1"/>
  <c r="K10" i="35" s="1"/>
  <c r="K11" i="35" s="1"/>
  <c r="K12" i="35" s="1"/>
  <c r="K13" i="35" s="1"/>
  <c r="K14" i="35" s="1"/>
  <c r="K15" i="35" s="1"/>
  <c r="H6" i="35"/>
  <c r="H7" i="35" s="1"/>
  <c r="H8" i="35" s="1"/>
  <c r="H9" i="35" s="1"/>
  <c r="I9" i="35" s="1"/>
  <c r="F5" i="35"/>
  <c r="F107" i="35" s="1"/>
  <c r="A48" i="9"/>
  <c r="E35" i="34"/>
  <c r="M35" i="34" s="1"/>
  <c r="E39" i="34"/>
  <c r="M39" i="34" s="1"/>
  <c r="E41" i="34"/>
  <c r="M41" i="34" s="1"/>
  <c r="E45" i="34"/>
  <c r="M45" i="34" s="1"/>
  <c r="E50" i="34"/>
  <c r="M50" i="34" s="1"/>
  <c r="E54" i="34"/>
  <c r="M54" i="34" s="1"/>
  <c r="E68" i="34"/>
  <c r="M68" i="34" s="1"/>
  <c r="E70" i="34"/>
  <c r="M70" i="34" s="1"/>
  <c r="E72" i="34"/>
  <c r="M72" i="34" s="1"/>
  <c r="E74" i="34"/>
  <c r="M74" i="34" s="1"/>
  <c r="E76" i="34"/>
  <c r="M76" i="34" s="1"/>
  <c r="E77" i="34"/>
  <c r="M77" i="34" s="1"/>
  <c r="E79" i="34"/>
  <c r="M79" i="34" s="1"/>
  <c r="E81" i="34"/>
  <c r="M81" i="34" s="1"/>
  <c r="E90" i="34"/>
  <c r="M90" i="34" s="1"/>
  <c r="E91" i="34"/>
  <c r="M91" i="34" s="1"/>
  <c r="E95" i="34"/>
  <c r="M95" i="34" s="1"/>
  <c r="E96" i="34"/>
  <c r="M96" i="34" s="1"/>
  <c r="E97" i="34"/>
  <c r="M97" i="34" s="1"/>
  <c r="E34" i="34"/>
  <c r="M34" i="34" s="1"/>
  <c r="D36" i="34"/>
  <c r="D37" i="34"/>
  <c r="E37" i="34" s="1"/>
  <c r="M37" i="34" s="1"/>
  <c r="D38" i="34"/>
  <c r="E38" i="34" s="1"/>
  <c r="M38" i="34" s="1"/>
  <c r="D40" i="34"/>
  <c r="E40" i="34" s="1"/>
  <c r="M40" i="34" s="1"/>
  <c r="D42" i="34"/>
  <c r="E42" i="34" s="1"/>
  <c r="M42" i="34" s="1"/>
  <c r="D43" i="34"/>
  <c r="E43" i="34" s="1"/>
  <c r="M43" i="34" s="1"/>
  <c r="D44" i="34"/>
  <c r="E44" i="34" s="1"/>
  <c r="M44" i="34" s="1"/>
  <c r="D46" i="34"/>
  <c r="E46" i="34" s="1"/>
  <c r="M46" i="34" s="1"/>
  <c r="D47" i="34"/>
  <c r="E47" i="34" s="1"/>
  <c r="M47" i="34" s="1"/>
  <c r="D48" i="34"/>
  <c r="E48" i="34" s="1"/>
  <c r="M48" i="34" s="1"/>
  <c r="D49" i="34"/>
  <c r="E49" i="34" s="1"/>
  <c r="M49" i="34" s="1"/>
  <c r="D51" i="34"/>
  <c r="E51" i="34" s="1"/>
  <c r="M51" i="34" s="1"/>
  <c r="D52" i="34"/>
  <c r="E52" i="34" s="1"/>
  <c r="M52" i="34" s="1"/>
  <c r="D53" i="34"/>
  <c r="E53" i="34" s="1"/>
  <c r="M53" i="34" s="1"/>
  <c r="D55" i="34"/>
  <c r="E55" i="34" s="1"/>
  <c r="M55" i="34" s="1"/>
  <c r="D56" i="34"/>
  <c r="E56" i="34" s="1"/>
  <c r="M56" i="34" s="1"/>
  <c r="D57" i="34"/>
  <c r="E57" i="34" s="1"/>
  <c r="M57" i="34" s="1"/>
  <c r="D58" i="34"/>
  <c r="E58" i="34" s="1"/>
  <c r="M58" i="34" s="1"/>
  <c r="D59" i="34"/>
  <c r="E59" i="34" s="1"/>
  <c r="M59" i="34" s="1"/>
  <c r="D60" i="34"/>
  <c r="E60" i="34" s="1"/>
  <c r="M60" i="34" s="1"/>
  <c r="D61" i="34"/>
  <c r="E61" i="34" s="1"/>
  <c r="M61" i="34" s="1"/>
  <c r="D62" i="34"/>
  <c r="E62" i="34" s="1"/>
  <c r="M62" i="34" s="1"/>
  <c r="D63" i="34"/>
  <c r="E63" i="34" s="1"/>
  <c r="M63" i="34" s="1"/>
  <c r="D64" i="34"/>
  <c r="E64" i="34" s="1"/>
  <c r="M64" i="34" s="1"/>
  <c r="D65" i="34"/>
  <c r="E65" i="34" s="1"/>
  <c r="M65" i="34" s="1"/>
  <c r="D66" i="34"/>
  <c r="E66" i="34" s="1"/>
  <c r="M66" i="34" s="1"/>
  <c r="D67" i="34"/>
  <c r="E67" i="34" s="1"/>
  <c r="M67" i="34" s="1"/>
  <c r="D69" i="34"/>
  <c r="E69" i="34" s="1"/>
  <c r="M69" i="34" s="1"/>
  <c r="D70" i="34"/>
  <c r="D71" i="34"/>
  <c r="E71" i="34" s="1"/>
  <c r="M71" i="34" s="1"/>
  <c r="D73" i="34"/>
  <c r="E73" i="34" s="1"/>
  <c r="M73" i="34" s="1"/>
  <c r="D75" i="34"/>
  <c r="E75" i="34" s="1"/>
  <c r="M75" i="34" s="1"/>
  <c r="D78" i="34"/>
  <c r="E78" i="34" s="1"/>
  <c r="M78" i="34" s="1"/>
  <c r="D80" i="34"/>
  <c r="E80" i="34" s="1"/>
  <c r="M80" i="34" s="1"/>
  <c r="D82" i="34"/>
  <c r="E82" i="34" s="1"/>
  <c r="M82" i="34" s="1"/>
  <c r="D83" i="34"/>
  <c r="E83" i="34" s="1"/>
  <c r="M83" i="34" s="1"/>
  <c r="D84" i="34"/>
  <c r="E84" i="34" s="1"/>
  <c r="M84" i="34" s="1"/>
  <c r="D85" i="34"/>
  <c r="E85" i="34" s="1"/>
  <c r="M85" i="34" s="1"/>
  <c r="D86" i="34"/>
  <c r="E86" i="34" s="1"/>
  <c r="M86" i="34" s="1"/>
  <c r="D87" i="34"/>
  <c r="E87" i="34" s="1"/>
  <c r="M87" i="34" s="1"/>
  <c r="D88" i="34"/>
  <c r="E88" i="34" s="1"/>
  <c r="M88" i="34" s="1"/>
  <c r="D89" i="34"/>
  <c r="E89" i="34" s="1"/>
  <c r="M89" i="34" s="1"/>
  <c r="D92" i="34"/>
  <c r="E92" i="34" s="1"/>
  <c r="M92" i="34" s="1"/>
  <c r="D93" i="34"/>
  <c r="E93" i="34" s="1"/>
  <c r="M93" i="34" s="1"/>
  <c r="D94" i="34"/>
  <c r="E94" i="34" s="1"/>
  <c r="M94" i="34" s="1"/>
  <c r="D98" i="34"/>
  <c r="E98" i="34" s="1"/>
  <c r="M98" i="34" s="1"/>
  <c r="E19" i="34"/>
  <c r="M19" i="34" s="1"/>
  <c r="E20" i="34"/>
  <c r="M20" i="34" s="1"/>
  <c r="E21" i="34"/>
  <c r="M21" i="34" s="1"/>
  <c r="E22" i="34"/>
  <c r="M22" i="34" s="1"/>
  <c r="E23" i="34"/>
  <c r="M23" i="34" s="1"/>
  <c r="E24" i="34"/>
  <c r="M24" i="34" s="1"/>
  <c r="E25" i="34"/>
  <c r="M25" i="34" s="1"/>
  <c r="E26" i="34"/>
  <c r="M26" i="34" s="1"/>
  <c r="E27" i="34"/>
  <c r="M27" i="34" s="1"/>
  <c r="E28" i="34"/>
  <c r="M28" i="34" s="1"/>
  <c r="E29" i="34"/>
  <c r="M29" i="34" s="1"/>
  <c r="E30" i="34"/>
  <c r="M30" i="34" s="1"/>
  <c r="E31" i="34"/>
  <c r="M31" i="34" s="1"/>
  <c r="E32" i="34"/>
  <c r="M32" i="34" s="1"/>
  <c r="F19" i="34"/>
  <c r="F20" i="34"/>
  <c r="F21" i="34"/>
  <c r="F22" i="34"/>
  <c r="F23" i="34"/>
  <c r="F24" i="34"/>
  <c r="F25" i="34"/>
  <c r="F26" i="34"/>
  <c r="F27" i="34"/>
  <c r="F28" i="34"/>
  <c r="F29" i="34"/>
  <c r="F30" i="34"/>
  <c r="F31" i="34"/>
  <c r="F32" i="34"/>
  <c r="D99" i="34" l="1"/>
  <c r="L38" i="15"/>
  <c r="O105" i="37"/>
  <c r="G105" i="37"/>
  <c r="G57" i="9"/>
  <c r="E36" i="34"/>
  <c r="M36" i="34" s="1"/>
  <c r="M99" i="34" s="1"/>
  <c r="K41" i="18"/>
  <c r="J32" i="17"/>
  <c r="K32" i="17" s="1"/>
  <c r="J22" i="33"/>
  <c r="J17" i="20"/>
  <c r="K20" i="31"/>
  <c r="J17" i="22"/>
  <c r="J20" i="32"/>
  <c r="J21" i="33"/>
  <c r="I24" i="40"/>
  <c r="I20" i="39"/>
  <c r="J20" i="39" s="1"/>
  <c r="I28" i="38"/>
  <c r="J27" i="38"/>
  <c r="J44" i="37"/>
  <c r="K43" i="37"/>
  <c r="M25" i="37"/>
  <c r="N24" i="37"/>
  <c r="H13" i="36"/>
  <c r="H14" i="36" s="1"/>
  <c r="H15" i="36" s="1"/>
  <c r="H16" i="36" s="1"/>
  <c r="H17" i="36" s="1"/>
  <c r="H18" i="36" s="1"/>
  <c r="H19" i="36" s="1"/>
  <c r="H20" i="36" s="1"/>
  <c r="H21" i="36" s="1"/>
  <c r="H22" i="36" s="1"/>
  <c r="H23" i="36" s="1"/>
  <c r="H24" i="36" s="1"/>
  <c r="H25" i="36" s="1"/>
  <c r="H26" i="36" s="1"/>
  <c r="H27" i="36" s="1"/>
  <c r="H28" i="36" s="1"/>
  <c r="H29" i="36" s="1"/>
  <c r="H30" i="36" s="1"/>
  <c r="H31" i="36" s="1"/>
  <c r="H10" i="35"/>
  <c r="C99" i="34"/>
  <c r="F98" i="34"/>
  <c r="F97" i="34"/>
  <c r="F96" i="34"/>
  <c r="F95" i="34"/>
  <c r="F94" i="34"/>
  <c r="F93" i="34"/>
  <c r="F92" i="34"/>
  <c r="F91" i="34"/>
  <c r="F90" i="34"/>
  <c r="F89" i="34"/>
  <c r="F88" i="34"/>
  <c r="F87" i="34"/>
  <c r="F86" i="34"/>
  <c r="F85" i="34"/>
  <c r="F84" i="34"/>
  <c r="F83" i="34"/>
  <c r="F82" i="34"/>
  <c r="F81" i="34"/>
  <c r="F80" i="34"/>
  <c r="F79" i="34"/>
  <c r="F78" i="34"/>
  <c r="F77" i="34"/>
  <c r="F76" i="34"/>
  <c r="F75" i="34"/>
  <c r="F74" i="34"/>
  <c r="F73" i="34"/>
  <c r="F72" i="34"/>
  <c r="F71" i="34"/>
  <c r="F70" i="34"/>
  <c r="F69" i="34"/>
  <c r="F68" i="34"/>
  <c r="F67" i="34"/>
  <c r="F66" i="34"/>
  <c r="F65" i="34"/>
  <c r="F64" i="34"/>
  <c r="F63" i="34"/>
  <c r="F62" i="34"/>
  <c r="F61" i="34"/>
  <c r="F60" i="34"/>
  <c r="F59" i="34"/>
  <c r="F58" i="34"/>
  <c r="F57" i="34"/>
  <c r="F56" i="34"/>
  <c r="F55" i="34"/>
  <c r="F54" i="34"/>
  <c r="F53" i="34"/>
  <c r="F52" i="34"/>
  <c r="F51" i="34"/>
  <c r="F50" i="34"/>
  <c r="F49" i="34"/>
  <c r="F48" i="34"/>
  <c r="F47" i="34"/>
  <c r="F46" i="34"/>
  <c r="F45" i="34"/>
  <c r="F44" i="34"/>
  <c r="F43" i="34"/>
  <c r="F42" i="34"/>
  <c r="F41" i="34"/>
  <c r="F40" i="34"/>
  <c r="F39" i="34"/>
  <c r="F38" i="34"/>
  <c r="F37" i="34"/>
  <c r="F36" i="34"/>
  <c r="F35" i="34"/>
  <c r="F34" i="34"/>
  <c r="C33" i="34"/>
  <c r="K18" i="34"/>
  <c r="K19" i="34" s="1"/>
  <c r="K20" i="34" s="1"/>
  <c r="K21" i="34" s="1"/>
  <c r="K22" i="34" s="1"/>
  <c r="K23" i="34" s="1"/>
  <c r="K24" i="34" s="1"/>
  <c r="K25" i="34" s="1"/>
  <c r="K26" i="34" s="1"/>
  <c r="K27" i="34" s="1"/>
  <c r="K28" i="34" s="1"/>
  <c r="K29" i="34" s="1"/>
  <c r="K30" i="34" s="1"/>
  <c r="K31" i="34" s="1"/>
  <c r="K32" i="34" s="1"/>
  <c r="F18" i="34"/>
  <c r="D17" i="34"/>
  <c r="C17" i="34"/>
  <c r="F16" i="34"/>
  <c r="E16" i="34"/>
  <c r="M16" i="34" s="1"/>
  <c r="F15" i="34"/>
  <c r="E15" i="34"/>
  <c r="M15" i="34" s="1"/>
  <c r="F14" i="34"/>
  <c r="E14" i="34"/>
  <c r="M14" i="34" s="1"/>
  <c r="F13" i="34"/>
  <c r="E13" i="34"/>
  <c r="M13" i="34" s="1"/>
  <c r="F12" i="34"/>
  <c r="E12" i="34"/>
  <c r="M12" i="34" s="1"/>
  <c r="F11" i="34"/>
  <c r="E11" i="34"/>
  <c r="M11" i="34" s="1"/>
  <c r="F10" i="34"/>
  <c r="E10" i="34"/>
  <c r="M10" i="34" s="1"/>
  <c r="F9" i="34"/>
  <c r="E9" i="34"/>
  <c r="M9" i="34" s="1"/>
  <c r="F8" i="34"/>
  <c r="E8" i="34"/>
  <c r="M8" i="34" s="1"/>
  <c r="F7" i="34"/>
  <c r="E7" i="34"/>
  <c r="M7" i="34" s="1"/>
  <c r="K6" i="34"/>
  <c r="K7" i="34" s="1"/>
  <c r="K8" i="34" s="1"/>
  <c r="K9" i="34" s="1"/>
  <c r="K10" i="34" s="1"/>
  <c r="K11" i="34" s="1"/>
  <c r="K12" i="34" s="1"/>
  <c r="K13" i="34" s="1"/>
  <c r="K14" i="34" s="1"/>
  <c r="K15" i="34" s="1"/>
  <c r="K16" i="34" s="1"/>
  <c r="H6" i="34"/>
  <c r="H7" i="34" s="1"/>
  <c r="F6" i="34"/>
  <c r="E6" i="34"/>
  <c r="M6" i="34" s="1"/>
  <c r="F5" i="34"/>
  <c r="E5" i="34"/>
  <c r="M5" i="34" s="1"/>
  <c r="A45" i="9"/>
  <c r="D35" i="33"/>
  <c r="D36" i="33"/>
  <c r="D37" i="33"/>
  <c r="D38" i="33"/>
  <c r="D39" i="33"/>
  <c r="D40" i="33"/>
  <c r="D41" i="33"/>
  <c r="D42" i="33"/>
  <c r="D43" i="33"/>
  <c r="D44" i="33"/>
  <c r="D45" i="33"/>
  <c r="D46" i="33"/>
  <c r="D47" i="33"/>
  <c r="D48" i="33"/>
  <c r="D49" i="33"/>
  <c r="D50" i="33"/>
  <c r="D51" i="33"/>
  <c r="D52" i="33"/>
  <c r="D53" i="33"/>
  <c r="D54" i="33"/>
  <c r="D55" i="33"/>
  <c r="D56" i="33"/>
  <c r="D57" i="33"/>
  <c r="D58" i="33"/>
  <c r="D59" i="33"/>
  <c r="D60" i="33"/>
  <c r="D61" i="33"/>
  <c r="D62" i="33"/>
  <c r="D63" i="33"/>
  <c r="D64" i="33"/>
  <c r="D65" i="33"/>
  <c r="D66" i="33"/>
  <c r="D67" i="33"/>
  <c r="D68" i="33"/>
  <c r="D69" i="33"/>
  <c r="D70" i="33"/>
  <c r="D71" i="33"/>
  <c r="D72" i="33"/>
  <c r="D73" i="33"/>
  <c r="D75" i="33"/>
  <c r="D76" i="33"/>
  <c r="D77" i="33"/>
  <c r="D78" i="33"/>
  <c r="D79" i="33"/>
  <c r="D80" i="33"/>
  <c r="D81" i="33"/>
  <c r="D82" i="33"/>
  <c r="D83" i="33"/>
  <c r="D84" i="33"/>
  <c r="D85" i="33"/>
  <c r="D86" i="33"/>
  <c r="D87" i="33"/>
  <c r="D88" i="33"/>
  <c r="D89" i="33"/>
  <c r="D90" i="33"/>
  <c r="E90" i="33" s="1"/>
  <c r="D91" i="33"/>
  <c r="E91" i="33" s="1"/>
  <c r="D92" i="33"/>
  <c r="D93" i="33"/>
  <c r="D94" i="33"/>
  <c r="D95" i="33"/>
  <c r="E95" i="33" s="1"/>
  <c r="D96" i="33"/>
  <c r="E96" i="33" s="1"/>
  <c r="D97" i="33"/>
  <c r="D98" i="33"/>
  <c r="E98" i="33" s="1"/>
  <c r="D99" i="33"/>
  <c r="D100" i="33"/>
  <c r="D101" i="33"/>
  <c r="D34" i="33"/>
  <c r="F89" i="33"/>
  <c r="F90" i="33"/>
  <c r="F91" i="33"/>
  <c r="F92" i="33"/>
  <c r="F93" i="33"/>
  <c r="F94" i="33"/>
  <c r="F95" i="33"/>
  <c r="F96" i="33"/>
  <c r="F97" i="33"/>
  <c r="F98" i="33"/>
  <c r="C102" i="33"/>
  <c r="F19" i="33"/>
  <c r="F20" i="33"/>
  <c r="F21" i="33"/>
  <c r="F22" i="33"/>
  <c r="F23" i="33"/>
  <c r="F24" i="33"/>
  <c r="F25" i="33"/>
  <c r="F26" i="33"/>
  <c r="F27" i="33"/>
  <c r="F28" i="33"/>
  <c r="F29" i="33"/>
  <c r="F30" i="33"/>
  <c r="F31" i="33"/>
  <c r="F32" i="33"/>
  <c r="D32" i="33"/>
  <c r="D31" i="33"/>
  <c r="D30" i="33"/>
  <c r="D29" i="33"/>
  <c r="D28" i="33"/>
  <c r="D27" i="33"/>
  <c r="D26" i="33"/>
  <c r="D25" i="33"/>
  <c r="D24" i="33"/>
  <c r="D23" i="33"/>
  <c r="D22" i="33"/>
  <c r="D21" i="33"/>
  <c r="D20" i="33"/>
  <c r="D18" i="33"/>
  <c r="I5" i="33"/>
  <c r="M17" i="34" l="1"/>
  <c r="L39" i="15"/>
  <c r="H11" i="35"/>
  <c r="I10" i="35"/>
  <c r="K42" i="18"/>
  <c r="J33" i="17"/>
  <c r="J23" i="33"/>
  <c r="K21" i="31"/>
  <c r="J21" i="32"/>
  <c r="J18" i="20"/>
  <c r="J18" i="22"/>
  <c r="J24" i="33"/>
  <c r="E92" i="33"/>
  <c r="E94" i="33"/>
  <c r="I25" i="40"/>
  <c r="I21" i="39"/>
  <c r="J21" i="39" s="1"/>
  <c r="I29" i="38"/>
  <c r="J28" i="38"/>
  <c r="J45" i="37"/>
  <c r="K44" i="37"/>
  <c r="M26" i="37"/>
  <c r="N25" i="37"/>
  <c r="H32" i="36"/>
  <c r="H34" i="36" s="1"/>
  <c r="H36" i="36" s="1"/>
  <c r="H38" i="36" s="1"/>
  <c r="H40" i="36" s="1"/>
  <c r="H42" i="36" s="1"/>
  <c r="H44" i="36" s="1"/>
  <c r="H46" i="36" s="1"/>
  <c r="H48" i="36" s="1"/>
  <c r="H50" i="36" s="1"/>
  <c r="H52" i="36" s="1"/>
  <c r="H54" i="36" s="1"/>
  <c r="H56" i="36" s="1"/>
  <c r="H58" i="36" s="1"/>
  <c r="H60" i="36" s="1"/>
  <c r="H62" i="36" s="1"/>
  <c r="H64" i="36" s="1"/>
  <c r="H66" i="36" s="1"/>
  <c r="H68" i="36" s="1"/>
  <c r="H70" i="36" s="1"/>
  <c r="H33" i="36"/>
  <c r="H35" i="36" s="1"/>
  <c r="H37" i="36" s="1"/>
  <c r="H39" i="36" s="1"/>
  <c r="H41" i="36" s="1"/>
  <c r="H43" i="36" s="1"/>
  <c r="H45" i="36" s="1"/>
  <c r="H47" i="36" s="1"/>
  <c r="H49" i="36" s="1"/>
  <c r="H51" i="36" s="1"/>
  <c r="F99" i="34"/>
  <c r="F17" i="34"/>
  <c r="E17" i="34"/>
  <c r="C100" i="34"/>
  <c r="H8" i="34"/>
  <c r="D33" i="34"/>
  <c r="D100" i="34" s="1"/>
  <c r="E18" i="34"/>
  <c r="M18" i="34" s="1"/>
  <c r="M33" i="34" s="1"/>
  <c r="F33" i="34"/>
  <c r="E89" i="33"/>
  <c r="D102" i="33"/>
  <c r="E93" i="33"/>
  <c r="E97" i="33"/>
  <c r="L40" i="15" l="1"/>
  <c r="J29" i="38"/>
  <c r="I31" i="38"/>
  <c r="I11" i="35"/>
  <c r="K43" i="18"/>
  <c r="J34" i="17"/>
  <c r="J19" i="20"/>
  <c r="J21" i="20" s="1"/>
  <c r="J22" i="32"/>
  <c r="J26" i="33"/>
  <c r="K22" i="31"/>
  <c r="J19" i="22"/>
  <c r="J25" i="33"/>
  <c r="I26" i="40"/>
  <c r="J26" i="40" s="1"/>
  <c r="I22" i="39"/>
  <c r="J46" i="37"/>
  <c r="K45" i="37"/>
  <c r="N26" i="37"/>
  <c r="M27" i="37"/>
  <c r="H53" i="36"/>
  <c r="H55" i="36" s="1"/>
  <c r="H57" i="36" s="1"/>
  <c r="H59" i="36" s="1"/>
  <c r="H61" i="36" s="1"/>
  <c r="H63" i="36" s="1"/>
  <c r="H65" i="36" s="1"/>
  <c r="H67" i="36" s="1"/>
  <c r="H72" i="36"/>
  <c r="H74" i="36" s="1"/>
  <c r="H76" i="36" s="1"/>
  <c r="H78" i="36" s="1"/>
  <c r="H80" i="36" s="1"/>
  <c r="H82" i="36" s="1"/>
  <c r="H84" i="36" s="1"/>
  <c r="H86" i="36" s="1"/>
  <c r="H88" i="36" s="1"/>
  <c r="H90" i="36" s="1"/>
  <c r="F100" i="34"/>
  <c r="E33" i="34"/>
  <c r="E99" i="34"/>
  <c r="H9" i="34"/>
  <c r="J100" i="34"/>
  <c r="L41" i="15" l="1"/>
  <c r="I23" i="39"/>
  <c r="J22" i="39"/>
  <c r="J31" i="38"/>
  <c r="I33" i="38"/>
  <c r="I32" i="38"/>
  <c r="H92" i="36"/>
  <c r="H94" i="36" s="1"/>
  <c r="H97" i="36" s="1"/>
  <c r="H99" i="36" s="1"/>
  <c r="I90" i="36"/>
  <c r="H12" i="35"/>
  <c r="H13" i="35" s="1"/>
  <c r="H14" i="35" s="1"/>
  <c r="H15" i="35" s="1"/>
  <c r="H16" i="35" s="1"/>
  <c r="H17" i="35" s="1"/>
  <c r="H18" i="35" s="1"/>
  <c r="H19" i="35" s="1"/>
  <c r="H20" i="35" s="1"/>
  <c r="H21" i="35" s="1"/>
  <c r="H22" i="35" s="1"/>
  <c r="H23" i="35" s="1"/>
  <c r="H24" i="35" s="1"/>
  <c r="H25" i="35" s="1"/>
  <c r="H26" i="35" s="1"/>
  <c r="H27" i="35" s="1"/>
  <c r="H28" i="35" s="1"/>
  <c r="H29" i="35" s="1"/>
  <c r="H30" i="35" s="1"/>
  <c r="K44" i="18"/>
  <c r="J35" i="17"/>
  <c r="J28" i="33"/>
  <c r="J23" i="32"/>
  <c r="J27" i="33"/>
  <c r="J20" i="22"/>
  <c r="K23" i="31"/>
  <c r="I27" i="40"/>
  <c r="J27" i="40" s="1"/>
  <c r="J47" i="37"/>
  <c r="K46" i="37"/>
  <c r="M28" i="37"/>
  <c r="N27" i="37"/>
  <c r="H69" i="36"/>
  <c r="H71" i="36" s="1"/>
  <c r="H73" i="36" s="1"/>
  <c r="H75" i="36" s="1"/>
  <c r="H77" i="36" s="1"/>
  <c r="H79" i="36" s="1"/>
  <c r="H81" i="36" s="1"/>
  <c r="H83" i="36" s="1"/>
  <c r="H85" i="36" s="1"/>
  <c r="H87" i="36" s="1"/>
  <c r="H89" i="36" s="1"/>
  <c r="H91" i="36" s="1"/>
  <c r="H93" i="36" s="1"/>
  <c r="H95" i="36" s="1"/>
  <c r="H96" i="36" s="1"/>
  <c r="E100" i="34"/>
  <c r="G48" i="9" s="1"/>
  <c r="M100" i="34"/>
  <c r="H10" i="34"/>
  <c r="L42" i="15" l="1"/>
  <c r="I24" i="39"/>
  <c r="J23" i="39"/>
  <c r="I34" i="38"/>
  <c r="J32" i="38"/>
  <c r="J33" i="38"/>
  <c r="I35" i="38"/>
  <c r="K45" i="18"/>
  <c r="J36" i="17"/>
  <c r="K36" i="17" s="1"/>
  <c r="J21" i="22"/>
  <c r="J29" i="33"/>
  <c r="J24" i="32"/>
  <c r="K24" i="31"/>
  <c r="J30" i="33"/>
  <c r="I28" i="40"/>
  <c r="J48" i="37"/>
  <c r="K47" i="37"/>
  <c r="M29" i="37"/>
  <c r="N28" i="37"/>
  <c r="H98" i="36"/>
  <c r="H32" i="35"/>
  <c r="H34" i="35" s="1"/>
  <c r="H36" i="35" s="1"/>
  <c r="H38" i="35" s="1"/>
  <c r="H40" i="35" s="1"/>
  <c r="H42" i="35" s="1"/>
  <c r="H44" i="35" s="1"/>
  <c r="H46" i="35" s="1"/>
  <c r="H48" i="35" s="1"/>
  <c r="H50" i="35" s="1"/>
  <c r="H31" i="35"/>
  <c r="H33" i="35" s="1"/>
  <c r="H35" i="35" s="1"/>
  <c r="H37" i="35" s="1"/>
  <c r="H39" i="35" s="1"/>
  <c r="H41" i="35" s="1"/>
  <c r="H43" i="35" s="1"/>
  <c r="H45" i="35" s="1"/>
  <c r="H47" i="35" s="1"/>
  <c r="H49" i="35" s="1"/>
  <c r="H51" i="35" s="1"/>
  <c r="H53" i="35" s="1"/>
  <c r="H11" i="34"/>
  <c r="H12" i="34" s="1"/>
  <c r="H13" i="34" s="1"/>
  <c r="H14" i="34" s="1"/>
  <c r="H15" i="34" s="1"/>
  <c r="L43" i="15" l="1"/>
  <c r="J24" i="39"/>
  <c r="I25" i="39"/>
  <c r="J34" i="38"/>
  <c r="I36" i="38"/>
  <c r="J35" i="38"/>
  <c r="I37" i="38"/>
  <c r="H52" i="35"/>
  <c r="H54" i="35" s="1"/>
  <c r="I50" i="35"/>
  <c r="K46" i="18"/>
  <c r="J37" i="17"/>
  <c r="J25" i="32"/>
  <c r="J31" i="33"/>
  <c r="J32" i="33"/>
  <c r="K25" i="31"/>
  <c r="J23" i="22"/>
  <c r="K23" i="22" s="1"/>
  <c r="I30" i="40"/>
  <c r="J49" i="37"/>
  <c r="K48" i="37"/>
  <c r="M30" i="37"/>
  <c r="N29" i="37"/>
  <c r="H55" i="35"/>
  <c r="H57" i="35" s="1"/>
  <c r="H59" i="35" s="1"/>
  <c r="H16" i="34"/>
  <c r="F101" i="33"/>
  <c r="E101" i="33"/>
  <c r="F100" i="33"/>
  <c r="E100" i="33"/>
  <c r="F99" i="33"/>
  <c r="E99" i="33"/>
  <c r="F88" i="33"/>
  <c r="E88" i="33"/>
  <c r="F87" i="33"/>
  <c r="E87" i="33"/>
  <c r="F86" i="33"/>
  <c r="E86" i="33"/>
  <c r="F85" i="33"/>
  <c r="E85" i="33"/>
  <c r="F84" i="33"/>
  <c r="F83" i="33"/>
  <c r="F82" i="33"/>
  <c r="E82" i="33"/>
  <c r="F81" i="33"/>
  <c r="E81" i="33"/>
  <c r="F80" i="33"/>
  <c r="E80" i="33"/>
  <c r="F79" i="33"/>
  <c r="E79" i="33"/>
  <c r="F78" i="33"/>
  <c r="E78" i="33"/>
  <c r="F77" i="33"/>
  <c r="E77" i="33"/>
  <c r="F76" i="33"/>
  <c r="E76" i="33"/>
  <c r="F75" i="33"/>
  <c r="E75" i="33"/>
  <c r="F74" i="33"/>
  <c r="E74" i="33"/>
  <c r="F73" i="33"/>
  <c r="E73" i="33"/>
  <c r="F72" i="33"/>
  <c r="E72" i="33"/>
  <c r="F71" i="33"/>
  <c r="E71" i="33"/>
  <c r="F70" i="33"/>
  <c r="E70" i="33"/>
  <c r="F69" i="33"/>
  <c r="E69" i="33"/>
  <c r="F68" i="33"/>
  <c r="E68" i="33"/>
  <c r="F67" i="33"/>
  <c r="E67" i="33"/>
  <c r="F66" i="33"/>
  <c r="E66" i="33"/>
  <c r="F65" i="33"/>
  <c r="E65" i="33"/>
  <c r="F64" i="33"/>
  <c r="E64" i="33"/>
  <c r="F63" i="33"/>
  <c r="E63" i="33"/>
  <c r="F62" i="33"/>
  <c r="E62" i="33"/>
  <c r="F61" i="33"/>
  <c r="E61" i="33"/>
  <c r="F60" i="33"/>
  <c r="E60" i="33"/>
  <c r="F59" i="33"/>
  <c r="E59" i="33"/>
  <c r="F58" i="33"/>
  <c r="E58" i="33"/>
  <c r="F57" i="33"/>
  <c r="E57" i="33"/>
  <c r="F56" i="33"/>
  <c r="E56" i="33"/>
  <c r="F55" i="33"/>
  <c r="E55" i="33"/>
  <c r="F54" i="33"/>
  <c r="E54" i="33"/>
  <c r="F53" i="33"/>
  <c r="E53" i="33"/>
  <c r="F52" i="33"/>
  <c r="E52" i="33"/>
  <c r="F51" i="33"/>
  <c r="E51" i="33"/>
  <c r="F50" i="33"/>
  <c r="E50" i="33"/>
  <c r="F49" i="33"/>
  <c r="E49" i="33"/>
  <c r="F48" i="33"/>
  <c r="E48" i="33"/>
  <c r="F47" i="33"/>
  <c r="E47" i="33"/>
  <c r="F46" i="33"/>
  <c r="E46" i="33"/>
  <c r="F45" i="33"/>
  <c r="E45" i="33"/>
  <c r="F44" i="33"/>
  <c r="E44" i="33"/>
  <c r="F43" i="33"/>
  <c r="E43" i="33"/>
  <c r="F42" i="33"/>
  <c r="E42" i="33"/>
  <c r="F41" i="33"/>
  <c r="E41" i="33"/>
  <c r="F40" i="33"/>
  <c r="E40" i="33"/>
  <c r="F39" i="33"/>
  <c r="E39" i="33"/>
  <c r="F38" i="33"/>
  <c r="E38" i="33"/>
  <c r="F37" i="33"/>
  <c r="E37" i="33"/>
  <c r="F36" i="33"/>
  <c r="E36" i="33"/>
  <c r="F35" i="33"/>
  <c r="E35" i="33"/>
  <c r="F34" i="33"/>
  <c r="E34" i="33"/>
  <c r="D33" i="33"/>
  <c r="C33" i="33"/>
  <c r="E32" i="33"/>
  <c r="E31" i="33"/>
  <c r="E30" i="33"/>
  <c r="K30" i="33" s="1"/>
  <c r="E29" i="33"/>
  <c r="K29" i="33" s="1"/>
  <c r="E28" i="33"/>
  <c r="K28" i="33" s="1"/>
  <c r="E27" i="33"/>
  <c r="K27" i="33" s="1"/>
  <c r="E26" i="33"/>
  <c r="K26" i="33" s="1"/>
  <c r="E25" i="33"/>
  <c r="K25" i="33" s="1"/>
  <c r="E24" i="33"/>
  <c r="K24" i="33" s="1"/>
  <c r="E23" i="33"/>
  <c r="K23" i="33" s="1"/>
  <c r="E22" i="33"/>
  <c r="K22" i="33" s="1"/>
  <c r="E21" i="33"/>
  <c r="K21" i="33" s="1"/>
  <c r="E20" i="33"/>
  <c r="K20" i="33" s="1"/>
  <c r="E19" i="33"/>
  <c r="K19" i="33" s="1"/>
  <c r="F18" i="33"/>
  <c r="E18" i="33"/>
  <c r="K18" i="33" s="1"/>
  <c r="D17" i="33"/>
  <c r="C17" i="33"/>
  <c r="F16" i="33"/>
  <c r="E16" i="33"/>
  <c r="K16" i="33" s="1"/>
  <c r="F15" i="33"/>
  <c r="E15" i="33"/>
  <c r="K15" i="33" s="1"/>
  <c r="F14" i="33"/>
  <c r="E14" i="33"/>
  <c r="K14" i="33" s="1"/>
  <c r="F13" i="33"/>
  <c r="E13" i="33"/>
  <c r="K13" i="33" s="1"/>
  <c r="F12" i="33"/>
  <c r="E12" i="33"/>
  <c r="K12" i="33" s="1"/>
  <c r="F11" i="33"/>
  <c r="E11" i="33"/>
  <c r="K11" i="33" s="1"/>
  <c r="F10" i="33"/>
  <c r="E10" i="33"/>
  <c r="K10" i="33" s="1"/>
  <c r="F9" i="33"/>
  <c r="E9" i="33"/>
  <c r="K9" i="33" s="1"/>
  <c r="F8" i="33"/>
  <c r="E8" i="33"/>
  <c r="K8" i="33" s="1"/>
  <c r="F7" i="33"/>
  <c r="E7" i="33"/>
  <c r="K7" i="33" s="1"/>
  <c r="H6" i="33"/>
  <c r="F6" i="33"/>
  <c r="E6" i="33"/>
  <c r="K6" i="33" s="1"/>
  <c r="F5" i="33"/>
  <c r="E5" i="33"/>
  <c r="K5" i="33" s="1"/>
  <c r="A42" i="9"/>
  <c r="K32" i="33" l="1"/>
  <c r="K31" i="33"/>
  <c r="K17" i="33"/>
  <c r="L44" i="15"/>
  <c r="I26" i="39"/>
  <c r="J25" i="39"/>
  <c r="J37" i="38"/>
  <c r="I39" i="38"/>
  <c r="I38" i="38"/>
  <c r="J36" i="38"/>
  <c r="K47" i="18"/>
  <c r="J38" i="17"/>
  <c r="J26" i="32"/>
  <c r="J22" i="20"/>
  <c r="K22" i="20" s="1"/>
  <c r="J24" i="22"/>
  <c r="K26" i="31"/>
  <c r="J34" i="33"/>
  <c r="K34" i="33" s="1"/>
  <c r="I32" i="40"/>
  <c r="I31" i="40"/>
  <c r="J50" i="37"/>
  <c r="K49" i="37"/>
  <c r="N30" i="37"/>
  <c r="M31" i="37"/>
  <c r="H61" i="35"/>
  <c r="H63" i="35" s="1"/>
  <c r="H56" i="35"/>
  <c r="H18" i="34"/>
  <c r="H7" i="33"/>
  <c r="I6" i="33"/>
  <c r="C103" i="33"/>
  <c r="D103" i="33"/>
  <c r="E102" i="33"/>
  <c r="F102" i="33"/>
  <c r="E33" i="33"/>
  <c r="F33" i="33"/>
  <c r="E17" i="33"/>
  <c r="F17" i="33"/>
  <c r="K33" i="33" l="1"/>
  <c r="L45" i="15"/>
  <c r="J26" i="39"/>
  <c r="I27" i="39"/>
  <c r="J39" i="38"/>
  <c r="I41" i="38"/>
  <c r="I40" i="38"/>
  <c r="J38" i="38"/>
  <c r="K48" i="18"/>
  <c r="J40" i="17"/>
  <c r="J41" i="17" s="1"/>
  <c r="K27" i="31"/>
  <c r="J23" i="20"/>
  <c r="J35" i="33"/>
  <c r="K35" i="33" s="1"/>
  <c r="J25" i="22"/>
  <c r="J27" i="32"/>
  <c r="I33" i="40"/>
  <c r="J33" i="40" s="1"/>
  <c r="J32" i="40"/>
  <c r="I34" i="40"/>
  <c r="J34" i="40" s="1"/>
  <c r="J51" i="37"/>
  <c r="K50" i="37"/>
  <c r="M32" i="37"/>
  <c r="N31" i="37"/>
  <c r="H65" i="35"/>
  <c r="H58" i="35"/>
  <c r="H19" i="34"/>
  <c r="H20" i="34" s="1"/>
  <c r="H8" i="33"/>
  <c r="I7" i="33"/>
  <c r="E103" i="33"/>
  <c r="G45" i="9" s="1"/>
  <c r="F103" i="33"/>
  <c r="L46" i="15" l="1"/>
  <c r="J27" i="39"/>
  <c r="I29" i="39"/>
  <c r="J41" i="38"/>
  <c r="I43" i="38"/>
  <c r="J40" i="38"/>
  <c r="I42" i="38"/>
  <c r="K49" i="18"/>
  <c r="K50" i="18" s="1"/>
  <c r="J42" i="17"/>
  <c r="J24" i="20"/>
  <c r="J26" i="22"/>
  <c r="J36" i="33"/>
  <c r="K36" i="33" s="1"/>
  <c r="J28" i="32"/>
  <c r="K28" i="31"/>
  <c r="I36" i="40"/>
  <c r="J36" i="40" s="1"/>
  <c r="I35" i="40"/>
  <c r="J35" i="40" s="1"/>
  <c r="J52" i="37"/>
  <c r="K51" i="37"/>
  <c r="M33" i="37"/>
  <c r="N32" i="37"/>
  <c r="H60" i="35"/>
  <c r="H67" i="35"/>
  <c r="I20" i="34"/>
  <c r="H21" i="34"/>
  <c r="H9" i="33"/>
  <c r="I8" i="33"/>
  <c r="L47" i="15" l="1"/>
  <c r="J29" i="39"/>
  <c r="I31" i="39"/>
  <c r="I30" i="39"/>
  <c r="I44" i="38"/>
  <c r="J42" i="38"/>
  <c r="J43" i="17"/>
  <c r="J27" i="22"/>
  <c r="K27" i="22" s="1"/>
  <c r="K29" i="31"/>
  <c r="J25" i="20"/>
  <c r="J37" i="33"/>
  <c r="K37" i="33" s="1"/>
  <c r="J29" i="32"/>
  <c r="I37" i="40"/>
  <c r="J37" i="40" s="1"/>
  <c r="I38" i="40"/>
  <c r="J38" i="40" s="1"/>
  <c r="J53" i="37"/>
  <c r="K52" i="37"/>
  <c r="M34" i="37"/>
  <c r="N33" i="37"/>
  <c r="H70" i="35"/>
  <c r="H72" i="35" s="1"/>
  <c r="H62" i="35"/>
  <c r="H22" i="34"/>
  <c r="H10" i="33"/>
  <c r="I9" i="33"/>
  <c r="D101" i="32"/>
  <c r="C101" i="32"/>
  <c r="F100" i="32"/>
  <c r="E100" i="32"/>
  <c r="F99" i="32"/>
  <c r="E99" i="32"/>
  <c r="F98" i="32"/>
  <c r="E98" i="32"/>
  <c r="F97" i="32"/>
  <c r="E97" i="32"/>
  <c r="F96" i="32"/>
  <c r="E96" i="32"/>
  <c r="F95" i="32"/>
  <c r="E95" i="32"/>
  <c r="F94" i="32"/>
  <c r="E94" i="32"/>
  <c r="F93" i="32"/>
  <c r="E93" i="32"/>
  <c r="F92" i="32"/>
  <c r="E92" i="32"/>
  <c r="F91" i="32"/>
  <c r="E91" i="32"/>
  <c r="F90" i="32"/>
  <c r="E90" i="32"/>
  <c r="F89" i="32"/>
  <c r="E89" i="32"/>
  <c r="F88" i="32"/>
  <c r="E88" i="32"/>
  <c r="F87" i="32"/>
  <c r="E87" i="32"/>
  <c r="F86" i="32"/>
  <c r="E86" i="32"/>
  <c r="F85" i="32"/>
  <c r="E85" i="32"/>
  <c r="F84" i="32"/>
  <c r="F83" i="32"/>
  <c r="F82" i="32"/>
  <c r="E82" i="32"/>
  <c r="F81" i="32"/>
  <c r="E81" i="32"/>
  <c r="F80" i="32"/>
  <c r="E80" i="32"/>
  <c r="F79" i="32"/>
  <c r="E79" i="32"/>
  <c r="F78" i="32"/>
  <c r="E78" i="32"/>
  <c r="F77" i="32"/>
  <c r="E77" i="32"/>
  <c r="F76" i="32"/>
  <c r="E76" i="32"/>
  <c r="F75" i="32"/>
  <c r="E75" i="32"/>
  <c r="F74" i="32"/>
  <c r="E74" i="32"/>
  <c r="F73" i="32"/>
  <c r="E73" i="32"/>
  <c r="F72" i="32"/>
  <c r="E72" i="32"/>
  <c r="F71" i="32"/>
  <c r="E71" i="32"/>
  <c r="F70" i="32"/>
  <c r="E70" i="32"/>
  <c r="F69" i="32"/>
  <c r="E69" i="32"/>
  <c r="F68" i="32"/>
  <c r="E68" i="32"/>
  <c r="F67" i="32"/>
  <c r="E67" i="32"/>
  <c r="F66" i="32"/>
  <c r="E66" i="32"/>
  <c r="F65" i="32"/>
  <c r="E65" i="32"/>
  <c r="F64" i="32"/>
  <c r="E64" i="32"/>
  <c r="F63" i="32"/>
  <c r="E63" i="32"/>
  <c r="F62" i="32"/>
  <c r="E62" i="32"/>
  <c r="F61" i="32"/>
  <c r="E61" i="32"/>
  <c r="F60" i="32"/>
  <c r="E60" i="32"/>
  <c r="F59" i="32"/>
  <c r="E59" i="32"/>
  <c r="F58" i="32"/>
  <c r="E58" i="32"/>
  <c r="F57" i="32"/>
  <c r="E57" i="32"/>
  <c r="F56" i="32"/>
  <c r="E56" i="32"/>
  <c r="F55" i="32"/>
  <c r="E55" i="32"/>
  <c r="F54" i="32"/>
  <c r="E54" i="32"/>
  <c r="F53" i="32"/>
  <c r="E53" i="32"/>
  <c r="F52" i="32"/>
  <c r="E52" i="32"/>
  <c r="F51" i="32"/>
  <c r="E51" i="32"/>
  <c r="F50" i="32"/>
  <c r="E50" i="32"/>
  <c r="F49" i="32"/>
  <c r="E49" i="32"/>
  <c r="F48" i="32"/>
  <c r="E48" i="32"/>
  <c r="F47" i="32"/>
  <c r="E47" i="32"/>
  <c r="F46" i="32"/>
  <c r="E46" i="32"/>
  <c r="F45" i="32"/>
  <c r="E45" i="32"/>
  <c r="F44" i="32"/>
  <c r="E44" i="32"/>
  <c r="F43" i="32"/>
  <c r="E43" i="32"/>
  <c r="F42" i="32"/>
  <c r="E42" i="32"/>
  <c r="F41" i="32"/>
  <c r="E41" i="32"/>
  <c r="F40" i="32"/>
  <c r="E40" i="32"/>
  <c r="F39" i="32"/>
  <c r="E39" i="32"/>
  <c r="F38" i="32"/>
  <c r="E38" i="32"/>
  <c r="F37" i="32"/>
  <c r="E37" i="32"/>
  <c r="F36" i="32"/>
  <c r="E36" i="32"/>
  <c r="F35" i="32"/>
  <c r="E35" i="32"/>
  <c r="F34" i="32"/>
  <c r="E34" i="32"/>
  <c r="D33" i="32"/>
  <c r="C33" i="32"/>
  <c r="F32" i="32"/>
  <c r="E32" i="32"/>
  <c r="F31" i="32"/>
  <c r="E31" i="32"/>
  <c r="F30" i="32"/>
  <c r="E30" i="32"/>
  <c r="F29" i="32"/>
  <c r="E29" i="32"/>
  <c r="F28" i="32"/>
  <c r="E28" i="32"/>
  <c r="K28" i="32" s="1"/>
  <c r="F27" i="32"/>
  <c r="E27" i="32"/>
  <c r="K27" i="32" s="1"/>
  <c r="F26" i="32"/>
  <c r="E26" i="32"/>
  <c r="K26" i="32" s="1"/>
  <c r="F25" i="32"/>
  <c r="E25" i="32"/>
  <c r="K25" i="32" s="1"/>
  <c r="F24" i="32"/>
  <c r="E24" i="32"/>
  <c r="K24" i="32" s="1"/>
  <c r="F23" i="32"/>
  <c r="E23" i="32"/>
  <c r="K23" i="32" s="1"/>
  <c r="F22" i="32"/>
  <c r="E22" i="32"/>
  <c r="K22" i="32" s="1"/>
  <c r="F21" i="32"/>
  <c r="E21" i="32"/>
  <c r="K21" i="32" s="1"/>
  <c r="F20" i="32"/>
  <c r="E20" i="32"/>
  <c r="K20" i="32" s="1"/>
  <c r="F19" i="32"/>
  <c r="E19" i="32"/>
  <c r="K19" i="32" s="1"/>
  <c r="F18" i="32"/>
  <c r="E18" i="32"/>
  <c r="K18" i="32" s="1"/>
  <c r="D17" i="32"/>
  <c r="C17" i="32"/>
  <c r="F16" i="32"/>
  <c r="E16" i="32"/>
  <c r="K16" i="32" s="1"/>
  <c r="F15" i="32"/>
  <c r="E15" i="32"/>
  <c r="K15" i="32" s="1"/>
  <c r="F14" i="32"/>
  <c r="E14" i="32"/>
  <c r="K14" i="32" s="1"/>
  <c r="F13" i="32"/>
  <c r="E13" i="32"/>
  <c r="K13" i="32" s="1"/>
  <c r="F12" i="32"/>
  <c r="E12" i="32"/>
  <c r="K12" i="32" s="1"/>
  <c r="F11" i="32"/>
  <c r="E11" i="32"/>
  <c r="K11" i="32" s="1"/>
  <c r="F10" i="32"/>
  <c r="E10" i="32"/>
  <c r="K10" i="32" s="1"/>
  <c r="F9" i="32"/>
  <c r="E9" i="32"/>
  <c r="K9" i="32" s="1"/>
  <c r="F8" i="32"/>
  <c r="E8" i="32"/>
  <c r="K8" i="32" s="1"/>
  <c r="F7" i="32"/>
  <c r="E7" i="32"/>
  <c r="K7" i="32" s="1"/>
  <c r="H6" i="32"/>
  <c r="H7" i="32" s="1"/>
  <c r="H8" i="32" s="1"/>
  <c r="H9" i="32" s="1"/>
  <c r="H10" i="32" s="1"/>
  <c r="H11" i="32" s="1"/>
  <c r="H12" i="32" s="1"/>
  <c r="H13" i="32" s="1"/>
  <c r="H14" i="32" s="1"/>
  <c r="H15" i="32" s="1"/>
  <c r="H16" i="32" s="1"/>
  <c r="H18" i="32" s="1"/>
  <c r="H19" i="32" s="1"/>
  <c r="H20" i="32" s="1"/>
  <c r="F6" i="32"/>
  <c r="E6" i="32"/>
  <c r="K6" i="32" s="1"/>
  <c r="F5" i="32"/>
  <c r="E5" i="32"/>
  <c r="K5" i="32" s="1"/>
  <c r="A39" i="9"/>
  <c r="E19" i="31"/>
  <c r="L19" i="31" s="1"/>
  <c r="E20" i="31"/>
  <c r="L20" i="31" s="1"/>
  <c r="E21" i="31"/>
  <c r="L21" i="31" s="1"/>
  <c r="E22" i="31"/>
  <c r="L22" i="31" s="1"/>
  <c r="E23" i="31"/>
  <c r="L23" i="31" s="1"/>
  <c r="E24" i="31"/>
  <c r="L24" i="31" s="1"/>
  <c r="E25" i="31"/>
  <c r="L25" i="31" s="1"/>
  <c r="E26" i="31"/>
  <c r="L26" i="31" s="1"/>
  <c r="E27" i="31"/>
  <c r="L27" i="31" s="1"/>
  <c r="E28" i="31"/>
  <c r="L28" i="31" s="1"/>
  <c r="E29" i="31"/>
  <c r="E30" i="31"/>
  <c r="E31" i="31"/>
  <c r="E32" i="31"/>
  <c r="E18" i="31"/>
  <c r="L18" i="31" s="1"/>
  <c r="D33" i="31"/>
  <c r="C103" i="31"/>
  <c r="E83" i="31"/>
  <c r="E35" i="31"/>
  <c r="E36" i="31"/>
  <c r="E37" i="31"/>
  <c r="E38" i="31"/>
  <c r="J38" i="31" s="1"/>
  <c r="E39" i="31"/>
  <c r="E40" i="31"/>
  <c r="E41" i="31"/>
  <c r="J41" i="31" s="1"/>
  <c r="E42" i="31"/>
  <c r="E43" i="31"/>
  <c r="E44" i="31"/>
  <c r="E45" i="31"/>
  <c r="E46" i="31"/>
  <c r="J46" i="31" s="1"/>
  <c r="E47" i="31"/>
  <c r="E48" i="31"/>
  <c r="E49" i="31"/>
  <c r="E50" i="31"/>
  <c r="E51" i="31"/>
  <c r="E52" i="31"/>
  <c r="E53" i="31"/>
  <c r="E54" i="31"/>
  <c r="E55" i="31"/>
  <c r="E56" i="31"/>
  <c r="E57" i="31"/>
  <c r="E58" i="31"/>
  <c r="E59" i="31"/>
  <c r="J59" i="31" s="1"/>
  <c r="E60" i="31"/>
  <c r="E61" i="31"/>
  <c r="E62" i="31"/>
  <c r="E63" i="31"/>
  <c r="E64" i="31"/>
  <c r="E65" i="31"/>
  <c r="E66" i="31"/>
  <c r="E67" i="31"/>
  <c r="J67" i="31" s="1"/>
  <c r="E68" i="31"/>
  <c r="E69" i="31"/>
  <c r="E70" i="31"/>
  <c r="E71" i="31"/>
  <c r="E72" i="31"/>
  <c r="E73" i="31"/>
  <c r="E74" i="31"/>
  <c r="E75" i="31"/>
  <c r="E76" i="31"/>
  <c r="E77" i="31"/>
  <c r="E78" i="31"/>
  <c r="E79" i="31"/>
  <c r="E80" i="31"/>
  <c r="E81" i="31"/>
  <c r="E84" i="31"/>
  <c r="E85" i="31"/>
  <c r="E86" i="31"/>
  <c r="E87" i="31"/>
  <c r="E88" i="31"/>
  <c r="E89" i="31"/>
  <c r="E90" i="31"/>
  <c r="E91" i="31"/>
  <c r="E92" i="31"/>
  <c r="E93" i="31"/>
  <c r="E94" i="31"/>
  <c r="E95" i="31"/>
  <c r="E96" i="31"/>
  <c r="E97" i="31"/>
  <c r="E98" i="31"/>
  <c r="J98" i="31" s="1"/>
  <c r="E99" i="31"/>
  <c r="E100" i="31"/>
  <c r="E101" i="31"/>
  <c r="E34" i="31"/>
  <c r="F35" i="31"/>
  <c r="F36" i="31"/>
  <c r="F37" i="31"/>
  <c r="F38" i="31"/>
  <c r="F39" i="31"/>
  <c r="F40" i="31"/>
  <c r="F41" i="31"/>
  <c r="F42" i="31"/>
  <c r="F43" i="31"/>
  <c r="F44" i="31"/>
  <c r="F45" i="31"/>
  <c r="F46" i="31"/>
  <c r="F47" i="31"/>
  <c r="F48" i="31"/>
  <c r="F49" i="31"/>
  <c r="F50" i="31"/>
  <c r="F51" i="31"/>
  <c r="F52" i="31"/>
  <c r="F53" i="31"/>
  <c r="F54" i="31"/>
  <c r="F55" i="31"/>
  <c r="F56" i="31"/>
  <c r="F57" i="31"/>
  <c r="F58" i="31"/>
  <c r="F59" i="31"/>
  <c r="F60" i="31"/>
  <c r="F61" i="31"/>
  <c r="F62" i="31"/>
  <c r="F63" i="31"/>
  <c r="F64" i="31"/>
  <c r="F65" i="31"/>
  <c r="F66" i="31"/>
  <c r="F67" i="31"/>
  <c r="F68" i="31"/>
  <c r="F69" i="31"/>
  <c r="F70" i="31"/>
  <c r="F71" i="31"/>
  <c r="F72" i="31"/>
  <c r="F73" i="31"/>
  <c r="F74" i="31"/>
  <c r="F75" i="31"/>
  <c r="F76" i="31"/>
  <c r="F77" i="31"/>
  <c r="F78" i="31"/>
  <c r="F79" i="31"/>
  <c r="F80" i="31"/>
  <c r="F81" i="31"/>
  <c r="F82" i="31"/>
  <c r="F83" i="31"/>
  <c r="F84" i="31"/>
  <c r="F85" i="31"/>
  <c r="F86" i="31"/>
  <c r="F87" i="31"/>
  <c r="F88" i="31"/>
  <c r="F89" i="31"/>
  <c r="F90" i="31"/>
  <c r="F91" i="31"/>
  <c r="F92" i="31"/>
  <c r="F93" i="31"/>
  <c r="F94" i="31"/>
  <c r="F95" i="31"/>
  <c r="F96" i="31"/>
  <c r="F97" i="31"/>
  <c r="F98" i="31"/>
  <c r="F99" i="31"/>
  <c r="F100" i="31"/>
  <c r="F101" i="31"/>
  <c r="F102" i="31"/>
  <c r="D102" i="31"/>
  <c r="D103" i="31" s="1"/>
  <c r="E6" i="31"/>
  <c r="L6" i="31" s="1"/>
  <c r="E7" i="31"/>
  <c r="L7" i="31" s="1"/>
  <c r="E8" i="31"/>
  <c r="L8" i="31" s="1"/>
  <c r="E9" i="31"/>
  <c r="L9" i="31" s="1"/>
  <c r="E10" i="31"/>
  <c r="L10" i="31" s="1"/>
  <c r="E11" i="31"/>
  <c r="L11" i="31" s="1"/>
  <c r="E12" i="31"/>
  <c r="L12" i="31" s="1"/>
  <c r="E13" i="31"/>
  <c r="L13" i="31" s="1"/>
  <c r="E14" i="31"/>
  <c r="L14" i="31" s="1"/>
  <c r="E15" i="31"/>
  <c r="L15" i="31" s="1"/>
  <c r="E16" i="31"/>
  <c r="L16" i="31" s="1"/>
  <c r="J30" i="39" l="1"/>
  <c r="I32" i="39"/>
  <c r="J31" i="39"/>
  <c r="I33" i="39"/>
  <c r="J44" i="38"/>
  <c r="I45" i="38"/>
  <c r="I46" i="38" s="1"/>
  <c r="I47" i="38" s="1"/>
  <c r="I48" i="38" s="1"/>
  <c r="I49" i="38" s="1"/>
  <c r="I50" i="38" s="1"/>
  <c r="I51" i="38" s="1"/>
  <c r="I52" i="38" s="1"/>
  <c r="I53" i="38" s="1"/>
  <c r="I54" i="38" s="1"/>
  <c r="I55" i="38" s="1"/>
  <c r="I56" i="38" s="1"/>
  <c r="I57" i="38" s="1"/>
  <c r="I58" i="38" s="1"/>
  <c r="I59" i="38" s="1"/>
  <c r="I60" i="38" s="1"/>
  <c r="I61" i="38" s="1"/>
  <c r="I62" i="38" s="1"/>
  <c r="I63" i="38" s="1"/>
  <c r="I64" i="38" s="1"/>
  <c r="I65" i="38" s="1"/>
  <c r="I66" i="38" s="1"/>
  <c r="I67" i="38" s="1"/>
  <c r="I68" i="38" s="1"/>
  <c r="I69" i="38" s="1"/>
  <c r="I70" i="38" s="1"/>
  <c r="I71" i="38" s="1"/>
  <c r="I72" i="38" s="1"/>
  <c r="I73" i="38" s="1"/>
  <c r="I74" i="38" s="1"/>
  <c r="I75" i="38" s="1"/>
  <c r="I76" i="38" s="1"/>
  <c r="I77" i="38" s="1"/>
  <c r="I78" i="38" s="1"/>
  <c r="I79" i="38" s="1"/>
  <c r="I80" i="38" s="1"/>
  <c r="I81" i="38" s="1"/>
  <c r="I82" i="38" s="1"/>
  <c r="I83" i="38" s="1"/>
  <c r="I84" i="38" s="1"/>
  <c r="I85" i="38" s="1"/>
  <c r="I86" i="38" s="1"/>
  <c r="I87" i="38" s="1"/>
  <c r="I88" i="38" s="1"/>
  <c r="I89" i="38" s="1"/>
  <c r="I90" i="38" s="1"/>
  <c r="I91" i="38" s="1"/>
  <c r="I92" i="38" s="1"/>
  <c r="I93" i="38" s="1"/>
  <c r="I94" i="38" s="1"/>
  <c r="I95" i="38" s="1"/>
  <c r="I96" i="38" s="1"/>
  <c r="I97" i="38" s="1"/>
  <c r="I98" i="38" s="1"/>
  <c r="I99" i="38" s="1"/>
  <c r="I100" i="38" s="1"/>
  <c r="K17" i="32"/>
  <c r="K29" i="32"/>
  <c r="L29" i="31"/>
  <c r="J44" i="17"/>
  <c r="J26" i="20"/>
  <c r="K30" i="31"/>
  <c r="L30" i="31" s="1"/>
  <c r="J30" i="32"/>
  <c r="K30" i="32" s="1"/>
  <c r="J28" i="22"/>
  <c r="J38" i="33"/>
  <c r="K38" i="33" s="1"/>
  <c r="J79" i="31"/>
  <c r="J72" i="31"/>
  <c r="J64" i="31"/>
  <c r="J56" i="31"/>
  <c r="J81" i="31"/>
  <c r="J66" i="31"/>
  <c r="J58" i="31"/>
  <c r="J23" i="31"/>
  <c r="J27" i="31"/>
  <c r="J19" i="31"/>
  <c r="J83" i="31"/>
  <c r="J90" i="31"/>
  <c r="J32" i="31"/>
  <c r="J47" i="31"/>
  <c r="J80" i="31"/>
  <c r="J73" i="31"/>
  <c r="J65" i="31"/>
  <c r="J57" i="31"/>
  <c r="J96" i="31"/>
  <c r="J89" i="31"/>
  <c r="J39" i="31"/>
  <c r="J97" i="31"/>
  <c r="J95" i="31"/>
  <c r="J88" i="31"/>
  <c r="E102" i="31"/>
  <c r="J28" i="31"/>
  <c r="J84" i="31"/>
  <c r="J36" i="31"/>
  <c r="J31" i="31"/>
  <c r="J20" i="31"/>
  <c r="J92" i="31"/>
  <c r="J44" i="31"/>
  <c r="J78" i="31"/>
  <c r="J71" i="31"/>
  <c r="J63" i="31"/>
  <c r="J55" i="31"/>
  <c r="J94" i="31"/>
  <c r="J29" i="31"/>
  <c r="J21" i="31"/>
  <c r="J77" i="31"/>
  <c r="J70" i="31"/>
  <c r="J62" i="31"/>
  <c r="J54" i="31"/>
  <c r="J82" i="31"/>
  <c r="J26" i="31"/>
  <c r="J74" i="31"/>
  <c r="J30" i="31"/>
  <c r="J22" i="31"/>
  <c r="J37" i="31"/>
  <c r="J43" i="31"/>
  <c r="J35" i="31"/>
  <c r="J93" i="31"/>
  <c r="J42" i="31"/>
  <c r="J49" i="31"/>
  <c r="J76" i="31"/>
  <c r="J69" i="31"/>
  <c r="J61" i="31"/>
  <c r="J53" i="31"/>
  <c r="J99" i="31"/>
  <c r="J18" i="31"/>
  <c r="J25" i="31"/>
  <c r="J50" i="31"/>
  <c r="J75" i="31"/>
  <c r="J68" i="31"/>
  <c r="J60" i="31"/>
  <c r="J45" i="31"/>
  <c r="J40" i="31"/>
  <c r="J85" i="31"/>
  <c r="J91" i="31"/>
  <c r="E33" i="31"/>
  <c r="J24" i="31"/>
  <c r="I40" i="40"/>
  <c r="I39" i="40"/>
  <c r="J54" i="37"/>
  <c r="K53" i="37"/>
  <c r="M35" i="37"/>
  <c r="N34" i="37"/>
  <c r="H64" i="35"/>
  <c r="H74" i="35"/>
  <c r="H23" i="34"/>
  <c r="H11" i="33"/>
  <c r="H12" i="33" s="1"/>
  <c r="H13" i="33" s="1"/>
  <c r="H14" i="33" s="1"/>
  <c r="H15" i="33" s="1"/>
  <c r="I10" i="33"/>
  <c r="E101" i="32"/>
  <c r="F101" i="32"/>
  <c r="D102" i="32"/>
  <c r="F33" i="32"/>
  <c r="F17" i="32"/>
  <c r="E17" i="32"/>
  <c r="C102" i="32"/>
  <c r="H21" i="32"/>
  <c r="H22" i="32" s="1"/>
  <c r="H23" i="32" s="1"/>
  <c r="H24" i="32" s="1"/>
  <c r="H25" i="32" s="1"/>
  <c r="E33" i="32"/>
  <c r="J46" i="38" l="1"/>
  <c r="J33" i="39"/>
  <c r="I35" i="39"/>
  <c r="J32" i="39"/>
  <c r="I34" i="39"/>
  <c r="J45" i="38"/>
  <c r="J48" i="38"/>
  <c r="K51" i="18"/>
  <c r="J45" i="17"/>
  <c r="J29" i="22"/>
  <c r="J31" i="32"/>
  <c r="K31" i="32" s="1"/>
  <c r="K31" i="31"/>
  <c r="L31" i="31" s="1"/>
  <c r="J39" i="33"/>
  <c r="K39" i="33" s="1"/>
  <c r="J27" i="20"/>
  <c r="E103" i="31"/>
  <c r="I41" i="40"/>
  <c r="J41" i="40" s="1"/>
  <c r="I42" i="40"/>
  <c r="J42" i="40" s="1"/>
  <c r="J55" i="37"/>
  <c r="K54" i="37"/>
  <c r="M38" i="37"/>
  <c r="N35" i="37"/>
  <c r="M37" i="37"/>
  <c r="H66" i="35"/>
  <c r="I66" i="35" s="1"/>
  <c r="H76" i="35"/>
  <c r="H24" i="34"/>
  <c r="H16" i="33"/>
  <c r="I15" i="33"/>
  <c r="F102" i="32"/>
  <c r="E102" i="32"/>
  <c r="G42" i="9" s="1"/>
  <c r="H26" i="32"/>
  <c r="H27" i="32" s="1"/>
  <c r="H28" i="32" s="1"/>
  <c r="J101" i="31"/>
  <c r="J100" i="31"/>
  <c r="J87" i="31"/>
  <c r="J86" i="31"/>
  <c r="J52" i="31"/>
  <c r="J51" i="31"/>
  <c r="J48" i="31"/>
  <c r="F34" i="31"/>
  <c r="C33" i="31"/>
  <c r="F32" i="31"/>
  <c r="F31" i="31"/>
  <c r="F30" i="31"/>
  <c r="F29" i="31"/>
  <c r="F28" i="31"/>
  <c r="F27" i="31"/>
  <c r="F26" i="31"/>
  <c r="F25" i="31"/>
  <c r="F24" i="31"/>
  <c r="F23" i="31"/>
  <c r="F22" i="31"/>
  <c r="F21" i="31"/>
  <c r="F20" i="31"/>
  <c r="F19" i="31"/>
  <c r="F18" i="31"/>
  <c r="D17" i="31"/>
  <c r="D104" i="31" s="1"/>
  <c r="C17" i="31"/>
  <c r="F16" i="31"/>
  <c r="J16" i="31"/>
  <c r="F15" i="31"/>
  <c r="J15" i="31"/>
  <c r="F14" i="31"/>
  <c r="J14" i="31"/>
  <c r="J13" i="31"/>
  <c r="F13" i="31"/>
  <c r="F12" i="31"/>
  <c r="J12" i="31"/>
  <c r="J11" i="31"/>
  <c r="F11" i="31"/>
  <c r="J10" i="31"/>
  <c r="F10" i="31"/>
  <c r="J9" i="31"/>
  <c r="F9" i="31"/>
  <c r="F8" i="31"/>
  <c r="J8" i="31"/>
  <c r="J7" i="31"/>
  <c r="F7" i="31"/>
  <c r="H6" i="31"/>
  <c r="H7" i="31" s="1"/>
  <c r="H8" i="31" s="1"/>
  <c r="F6" i="31"/>
  <c r="F5" i="31"/>
  <c r="E5" i="31"/>
  <c r="L5" i="31" s="1"/>
  <c r="L17" i="31" s="1"/>
  <c r="L49" i="15" l="1"/>
  <c r="J35" i="39"/>
  <c r="I37" i="39"/>
  <c r="J34" i="39"/>
  <c r="I36" i="39"/>
  <c r="J50" i="38"/>
  <c r="J47" i="38"/>
  <c r="K52" i="18"/>
  <c r="J46" i="17"/>
  <c r="J40" i="33"/>
  <c r="K40" i="33" s="1"/>
  <c r="K32" i="31"/>
  <c r="L32" i="31" s="1"/>
  <c r="J32" i="32"/>
  <c r="K32" i="32" s="1"/>
  <c r="K33" i="32" s="1"/>
  <c r="J28" i="20"/>
  <c r="J30" i="22"/>
  <c r="E17" i="31"/>
  <c r="E104" i="31" s="1"/>
  <c r="G39" i="9" s="1"/>
  <c r="J34" i="31"/>
  <c r="I43" i="40"/>
  <c r="J43" i="40" s="1"/>
  <c r="I44" i="40"/>
  <c r="J44" i="40" s="1"/>
  <c r="J56" i="37"/>
  <c r="K55" i="37"/>
  <c r="M41" i="37"/>
  <c r="M39" i="37"/>
  <c r="N38" i="37"/>
  <c r="N37" i="37"/>
  <c r="M40" i="37"/>
  <c r="H78" i="35"/>
  <c r="H68" i="35"/>
  <c r="H25" i="34"/>
  <c r="H18" i="33"/>
  <c r="I16" i="33"/>
  <c r="H29" i="32"/>
  <c r="H30" i="32" s="1"/>
  <c r="H31" i="32" s="1"/>
  <c r="H32" i="32" s="1"/>
  <c r="H34" i="32" s="1"/>
  <c r="F103" i="31"/>
  <c r="J6" i="31"/>
  <c r="C104" i="31"/>
  <c r="F33" i="31"/>
  <c r="F17" i="31"/>
  <c r="H9" i="31"/>
  <c r="J102" i="31"/>
  <c r="L50" i="15" l="1"/>
  <c r="J36" i="39"/>
  <c r="I38" i="39"/>
  <c r="J37" i="39"/>
  <c r="I39" i="39"/>
  <c r="J49" i="38"/>
  <c r="J52" i="38"/>
  <c r="K53" i="18"/>
  <c r="J47" i="17"/>
  <c r="J29" i="20"/>
  <c r="K29" i="20" s="1"/>
  <c r="J34" i="32"/>
  <c r="K34" i="32" s="1"/>
  <c r="L33" i="31"/>
  <c r="K34" i="31"/>
  <c r="L34" i="31" s="1"/>
  <c r="J31" i="22"/>
  <c r="K31" i="22" s="1"/>
  <c r="J41" i="33"/>
  <c r="K41" i="33" s="1"/>
  <c r="H35" i="32"/>
  <c r="H37" i="32" s="1"/>
  <c r="H39" i="32" s="1"/>
  <c r="H41" i="32" s="1"/>
  <c r="H43" i="32" s="1"/>
  <c r="H45" i="32" s="1"/>
  <c r="H47" i="32" s="1"/>
  <c r="H48" i="32" s="1"/>
  <c r="H50" i="32" s="1"/>
  <c r="I50" i="32" s="1"/>
  <c r="H36" i="32"/>
  <c r="H38" i="32" s="1"/>
  <c r="J17" i="31"/>
  <c r="J5" i="31"/>
  <c r="I46" i="40"/>
  <c r="J46" i="40" s="1"/>
  <c r="I45" i="40"/>
  <c r="J45" i="40" s="1"/>
  <c r="J57" i="37"/>
  <c r="K56" i="37"/>
  <c r="M43" i="37"/>
  <c r="N40" i="37"/>
  <c r="M42" i="37"/>
  <c r="N39" i="37"/>
  <c r="M44" i="37"/>
  <c r="N41" i="37"/>
  <c r="H69" i="35"/>
  <c r="H80" i="35"/>
  <c r="H26" i="34"/>
  <c r="I25" i="34"/>
  <c r="H19" i="33"/>
  <c r="H20" i="33" s="1"/>
  <c r="I18" i="33"/>
  <c r="F104" i="31"/>
  <c r="H10" i="31"/>
  <c r="L51" i="15" l="1"/>
  <c r="J39" i="39"/>
  <c r="I41" i="39"/>
  <c r="J38" i="39"/>
  <c r="I40" i="39"/>
  <c r="J54" i="38"/>
  <c r="J51" i="38"/>
  <c r="K54" i="18"/>
  <c r="J48" i="17"/>
  <c r="K35" i="31"/>
  <c r="L35" i="31" s="1"/>
  <c r="J30" i="20"/>
  <c r="K30" i="20" s="1"/>
  <c r="J32" i="22"/>
  <c r="K32" i="22" s="1"/>
  <c r="J35" i="32"/>
  <c r="K35" i="32" s="1"/>
  <c r="J42" i="33"/>
  <c r="K42" i="33" s="1"/>
  <c r="H52" i="32"/>
  <c r="H40" i="32"/>
  <c r="I38" i="32"/>
  <c r="I47" i="40"/>
  <c r="J47" i="40" s="1"/>
  <c r="I48" i="40"/>
  <c r="J48" i="40" s="1"/>
  <c r="J58" i="37"/>
  <c r="K57" i="37"/>
  <c r="N43" i="37"/>
  <c r="M46" i="37"/>
  <c r="N42" i="37"/>
  <c r="M45" i="37"/>
  <c r="M47" i="37"/>
  <c r="N44" i="37"/>
  <c r="H82" i="35"/>
  <c r="H71" i="35"/>
  <c r="H73" i="35" s="1"/>
  <c r="H27" i="34"/>
  <c r="H21" i="33"/>
  <c r="I20" i="33"/>
  <c r="H54" i="32"/>
  <c r="H56" i="32" s="1"/>
  <c r="J33" i="31"/>
  <c r="H11" i="31"/>
  <c r="F52" i="22"/>
  <c r="F53" i="22"/>
  <c r="F54" i="22"/>
  <c r="F55" i="22"/>
  <c r="F56" i="22"/>
  <c r="F57" i="22"/>
  <c r="F58" i="22"/>
  <c r="F59" i="22"/>
  <c r="F60" i="22"/>
  <c r="F61" i="22"/>
  <c r="F62" i="22"/>
  <c r="F63" i="22"/>
  <c r="F64" i="22"/>
  <c r="F65" i="22"/>
  <c r="F66" i="22"/>
  <c r="F67" i="22"/>
  <c r="F68" i="22"/>
  <c r="F69" i="22"/>
  <c r="F70" i="22"/>
  <c r="F71" i="22"/>
  <c r="F72" i="22"/>
  <c r="F73" i="22"/>
  <c r="F74" i="22"/>
  <c r="F75" i="22"/>
  <c r="F76" i="22"/>
  <c r="F77" i="22"/>
  <c r="F78" i="22"/>
  <c r="F79" i="22"/>
  <c r="F80" i="22"/>
  <c r="F81" i="22"/>
  <c r="F82" i="22"/>
  <c r="F83" i="22"/>
  <c r="F84" i="22"/>
  <c r="F85" i="22"/>
  <c r="F86" i="22"/>
  <c r="F87" i="22"/>
  <c r="F88" i="22"/>
  <c r="F89" i="22"/>
  <c r="F90" i="22"/>
  <c r="F91" i="22"/>
  <c r="F92" i="22"/>
  <c r="F93" i="22"/>
  <c r="F94" i="22"/>
  <c r="F95" i="22"/>
  <c r="F96" i="22"/>
  <c r="F97" i="22"/>
  <c r="F98" i="22"/>
  <c r="F99" i="22"/>
  <c r="F100" i="22"/>
  <c r="F101" i="22"/>
  <c r="F102" i="22"/>
  <c r="F103" i="22"/>
  <c r="F104" i="22"/>
  <c r="F105" i="22"/>
  <c r="F106" i="22"/>
  <c r="F107" i="22"/>
  <c r="F108" i="22"/>
  <c r="F109" i="22"/>
  <c r="F110" i="22"/>
  <c r="F111" i="22"/>
  <c r="F112" i="22"/>
  <c r="F113" i="22"/>
  <c r="F114" i="22"/>
  <c r="F115" i="22"/>
  <c r="F116" i="22"/>
  <c r="F117" i="22"/>
  <c r="F118" i="22"/>
  <c r="F119" i="22"/>
  <c r="F120" i="22"/>
  <c r="F121" i="22"/>
  <c r="F122" i="22"/>
  <c r="F123" i="22"/>
  <c r="F124" i="22"/>
  <c r="F125" i="22"/>
  <c r="F126" i="22"/>
  <c r="F127" i="22"/>
  <c r="F128" i="22"/>
  <c r="F129" i="22"/>
  <c r="F130" i="22"/>
  <c r="F131" i="22"/>
  <c r="F132" i="22"/>
  <c r="F133" i="22"/>
  <c r="F134" i="22"/>
  <c r="F135" i="22"/>
  <c r="F51" i="22"/>
  <c r="F24" i="22"/>
  <c r="F25" i="22"/>
  <c r="F26" i="22"/>
  <c r="F27" i="22"/>
  <c r="F28" i="22"/>
  <c r="F29" i="22"/>
  <c r="F30" i="22"/>
  <c r="F31" i="22"/>
  <c r="F32" i="22"/>
  <c r="F33" i="22"/>
  <c r="F34" i="22"/>
  <c r="F35" i="22"/>
  <c r="F36" i="22"/>
  <c r="F37" i="22"/>
  <c r="F38" i="22"/>
  <c r="F39" i="22"/>
  <c r="F40" i="22"/>
  <c r="F41" i="22"/>
  <c r="F42" i="22"/>
  <c r="F43" i="22"/>
  <c r="F44" i="22"/>
  <c r="F45" i="22"/>
  <c r="F46" i="22"/>
  <c r="F47" i="22"/>
  <c r="F48" i="22"/>
  <c r="F49" i="22"/>
  <c r="F23" i="22"/>
  <c r="F6" i="22"/>
  <c r="F7" i="22"/>
  <c r="F8" i="22"/>
  <c r="F9" i="22"/>
  <c r="F10" i="22"/>
  <c r="F11" i="22"/>
  <c r="F12" i="22"/>
  <c r="F13" i="22"/>
  <c r="F14" i="22"/>
  <c r="F15" i="22"/>
  <c r="F16" i="22"/>
  <c r="F17" i="22"/>
  <c r="F18" i="22"/>
  <c r="F19" i="22"/>
  <c r="F20" i="22"/>
  <c r="F21" i="22"/>
  <c r="F5" i="22"/>
  <c r="E8" i="22"/>
  <c r="K8" i="22" s="1"/>
  <c r="C136" i="22"/>
  <c r="C50" i="22"/>
  <c r="C22" i="22"/>
  <c r="D22" i="22"/>
  <c r="E59" i="22"/>
  <c r="E52" i="22"/>
  <c r="E44" i="22"/>
  <c r="E40" i="22"/>
  <c r="I5" i="22"/>
  <c r="E14" i="22"/>
  <c r="K14" i="22" s="1"/>
  <c r="E12" i="22"/>
  <c r="K12" i="22" s="1"/>
  <c r="E6" i="22"/>
  <c r="K6" i="22" s="1"/>
  <c r="E15" i="22"/>
  <c r="K15" i="22" s="1"/>
  <c r="E16" i="22"/>
  <c r="K16" i="22" s="1"/>
  <c r="E17" i="22"/>
  <c r="K17" i="22" s="1"/>
  <c r="E18" i="22"/>
  <c r="K18" i="22" s="1"/>
  <c r="E19" i="22"/>
  <c r="K19" i="22" s="1"/>
  <c r="E20" i="22"/>
  <c r="K20" i="22" s="1"/>
  <c r="E21" i="22"/>
  <c r="K21" i="22" s="1"/>
  <c r="E37" i="22"/>
  <c r="E38" i="22"/>
  <c r="E41" i="22"/>
  <c r="E53" i="22"/>
  <c r="E54" i="22"/>
  <c r="E55" i="22"/>
  <c r="E56" i="22"/>
  <c r="E63" i="22"/>
  <c r="E65" i="22"/>
  <c r="E68" i="22"/>
  <c r="E69" i="22"/>
  <c r="E70" i="22"/>
  <c r="E71" i="22"/>
  <c r="E72" i="22"/>
  <c r="E73" i="22"/>
  <c r="E74" i="22"/>
  <c r="E75" i="22"/>
  <c r="E76" i="22"/>
  <c r="E77" i="22"/>
  <c r="E78" i="22"/>
  <c r="E79" i="22"/>
  <c r="E80" i="22"/>
  <c r="E81" i="22"/>
  <c r="E82" i="22"/>
  <c r="E83" i="22"/>
  <c r="E84" i="22"/>
  <c r="E85" i="22"/>
  <c r="E86" i="22"/>
  <c r="E87" i="22"/>
  <c r="E88" i="22"/>
  <c r="E89" i="22"/>
  <c r="E90" i="22"/>
  <c r="E91" i="22"/>
  <c r="E92" i="22"/>
  <c r="E93" i="22"/>
  <c r="E94" i="22"/>
  <c r="E95" i="22"/>
  <c r="E96" i="22"/>
  <c r="E98" i="22"/>
  <c r="E102" i="22"/>
  <c r="E109" i="22"/>
  <c r="E110" i="22"/>
  <c r="E113" i="22"/>
  <c r="E114" i="22"/>
  <c r="E115" i="22"/>
  <c r="E116" i="22"/>
  <c r="E117" i="22"/>
  <c r="E5" i="22"/>
  <c r="K5" i="22" s="1"/>
  <c r="D47" i="22"/>
  <c r="D49" i="22"/>
  <c r="D135" i="22"/>
  <c r="D134" i="22"/>
  <c r="D132" i="22"/>
  <c r="D129" i="22"/>
  <c r="E129" i="22" s="1"/>
  <c r="D128" i="22"/>
  <c r="E128" i="22" s="1"/>
  <c r="D127" i="22"/>
  <c r="E127" i="22" s="1"/>
  <c r="D126" i="22"/>
  <c r="D125" i="22"/>
  <c r="D124" i="22"/>
  <c r="D122" i="22"/>
  <c r="D121" i="22"/>
  <c r="D120" i="22"/>
  <c r="E120" i="22" s="1"/>
  <c r="D119" i="22"/>
  <c r="E119" i="22" s="1"/>
  <c r="D118" i="22"/>
  <c r="E118" i="22" s="1"/>
  <c r="D36" i="22"/>
  <c r="D35" i="22"/>
  <c r="E35" i="22" s="1"/>
  <c r="D30" i="22"/>
  <c r="D29" i="22"/>
  <c r="D28" i="22"/>
  <c r="E28" i="22" s="1"/>
  <c r="K28" i="22" s="1"/>
  <c r="D26" i="22"/>
  <c r="D25" i="22"/>
  <c r="E25" i="22" s="1"/>
  <c r="K25" i="22" s="1"/>
  <c r="D24" i="22"/>
  <c r="L52" i="15" l="1"/>
  <c r="J40" i="39"/>
  <c r="I42" i="39"/>
  <c r="J41" i="39"/>
  <c r="J53" i="38"/>
  <c r="J56" i="38"/>
  <c r="K22" i="22"/>
  <c r="K55" i="18"/>
  <c r="J49" i="17"/>
  <c r="K36" i="31"/>
  <c r="J31" i="20"/>
  <c r="J36" i="32"/>
  <c r="K36" i="32" s="1"/>
  <c r="J33" i="22"/>
  <c r="K33" i="22" s="1"/>
  <c r="J43" i="33"/>
  <c r="K43" i="33" s="1"/>
  <c r="I40" i="32"/>
  <c r="H42" i="32"/>
  <c r="H44" i="32" s="1"/>
  <c r="H46" i="32" s="1"/>
  <c r="F50" i="22"/>
  <c r="D50" i="22"/>
  <c r="F136" i="22"/>
  <c r="I50" i="40"/>
  <c r="J50" i="40" s="1"/>
  <c r="I49" i="40"/>
  <c r="J59" i="37"/>
  <c r="K58" i="37"/>
  <c r="M50" i="37"/>
  <c r="N47" i="37"/>
  <c r="M48" i="37"/>
  <c r="N45" i="37"/>
  <c r="M49" i="37"/>
  <c r="N46" i="37"/>
  <c r="H75" i="35"/>
  <c r="H84" i="35"/>
  <c r="H86" i="35" s="1"/>
  <c r="H88" i="35" s="1"/>
  <c r="H90" i="35" s="1"/>
  <c r="H92" i="35" s="1"/>
  <c r="H94" i="35" s="1"/>
  <c r="H28" i="34"/>
  <c r="H22" i="33"/>
  <c r="I21" i="33"/>
  <c r="H58" i="32"/>
  <c r="H12" i="31"/>
  <c r="E126" i="22"/>
  <c r="E36" i="22"/>
  <c r="E125" i="22"/>
  <c r="E30" i="22"/>
  <c r="K30" i="22" s="1"/>
  <c r="E47" i="22"/>
  <c r="E122" i="22"/>
  <c r="E29" i="22"/>
  <c r="K29" i="22" s="1"/>
  <c r="E22" i="22"/>
  <c r="E49" i="22"/>
  <c r="E26" i="22"/>
  <c r="K26" i="22" s="1"/>
  <c r="D136" i="22"/>
  <c r="E135" i="22"/>
  <c r="E121" i="22"/>
  <c r="E24" i="22"/>
  <c r="K24" i="22" s="1"/>
  <c r="F22" i="22"/>
  <c r="C137" i="22"/>
  <c r="L53" i="15" l="1"/>
  <c r="J42" i="39"/>
  <c r="I43" i="39"/>
  <c r="I44" i="39" s="1"/>
  <c r="J55" i="38"/>
  <c r="J58" i="38"/>
  <c r="H96" i="35"/>
  <c r="H97" i="35" s="1"/>
  <c r="H99" i="35" s="1"/>
  <c r="I94" i="35"/>
  <c r="K37" i="31"/>
  <c r="L37" i="31" s="1"/>
  <c r="L36" i="31"/>
  <c r="K56" i="18"/>
  <c r="J50" i="17"/>
  <c r="J34" i="22"/>
  <c r="K34" i="22" s="1"/>
  <c r="J37" i="32"/>
  <c r="K37" i="32" s="1"/>
  <c r="J44" i="33"/>
  <c r="K44" i="33" s="1"/>
  <c r="J32" i="20"/>
  <c r="H49" i="32"/>
  <c r="H51" i="32" s="1"/>
  <c r="I51" i="32" s="1"/>
  <c r="I51" i="40"/>
  <c r="J51" i="40" s="1"/>
  <c r="I52" i="40"/>
  <c r="J52" i="40" s="1"/>
  <c r="J60" i="37"/>
  <c r="K59" i="37"/>
  <c r="N48" i="37"/>
  <c r="M51" i="37"/>
  <c r="M52" i="37"/>
  <c r="N49" i="37"/>
  <c r="M53" i="37"/>
  <c r="N50" i="37"/>
  <c r="H77" i="35"/>
  <c r="I28" i="34"/>
  <c r="H29" i="34"/>
  <c r="H23" i="33"/>
  <c r="I22" i="33"/>
  <c r="H60" i="32"/>
  <c r="H13" i="31"/>
  <c r="E136" i="22"/>
  <c r="E50" i="22"/>
  <c r="D137" i="22"/>
  <c r="L54" i="15" l="1"/>
  <c r="J43" i="39"/>
  <c r="I45" i="39"/>
  <c r="J44" i="39"/>
  <c r="I46" i="39"/>
  <c r="J57" i="38"/>
  <c r="J60" i="38"/>
  <c r="K38" i="31"/>
  <c r="L38" i="31" s="1"/>
  <c r="K57" i="18"/>
  <c r="L56" i="18"/>
  <c r="J51" i="17"/>
  <c r="J38" i="32"/>
  <c r="K38" i="32" s="1"/>
  <c r="J33" i="20"/>
  <c r="J35" i="22"/>
  <c r="K35" i="22" s="1"/>
  <c r="J45" i="33"/>
  <c r="K45" i="33" s="1"/>
  <c r="H53" i="32"/>
  <c r="E137" i="22"/>
  <c r="G36" i="9" s="1"/>
  <c r="I54" i="40"/>
  <c r="J54" i="40" s="1"/>
  <c r="I53" i="40"/>
  <c r="J53" i="40" s="1"/>
  <c r="J61" i="37"/>
  <c r="K60" i="37"/>
  <c r="M56" i="37"/>
  <c r="N53" i="37"/>
  <c r="M55" i="37"/>
  <c r="N52" i="37"/>
  <c r="M54" i="37"/>
  <c r="N51" i="37"/>
  <c r="H101" i="35"/>
  <c r="H79" i="35"/>
  <c r="H30" i="34"/>
  <c r="H24" i="33"/>
  <c r="I23" i="33"/>
  <c r="H55" i="32"/>
  <c r="H62" i="32"/>
  <c r="H14" i="31"/>
  <c r="K39" i="31" l="1"/>
  <c r="L39" i="31" s="1"/>
  <c r="L55" i="15"/>
  <c r="J46" i="39"/>
  <c r="I48" i="39"/>
  <c r="J45" i="39"/>
  <c r="I47" i="39"/>
  <c r="J62" i="38"/>
  <c r="J59" i="38"/>
  <c r="K58" i="18"/>
  <c r="J52" i="17"/>
  <c r="J34" i="20"/>
  <c r="K40" i="31"/>
  <c r="L40" i="31" s="1"/>
  <c r="J36" i="22"/>
  <c r="K36" i="22" s="1"/>
  <c r="J46" i="33"/>
  <c r="K46" i="33" s="1"/>
  <c r="J39" i="32"/>
  <c r="K39" i="32" s="1"/>
  <c r="I55" i="40"/>
  <c r="I56" i="40"/>
  <c r="J56" i="40" s="1"/>
  <c r="J62" i="37"/>
  <c r="K61" i="37"/>
  <c r="N54" i="37"/>
  <c r="M57" i="37"/>
  <c r="N55" i="37"/>
  <c r="M58" i="37"/>
  <c r="M59" i="37"/>
  <c r="N56" i="37"/>
  <c r="H81" i="35"/>
  <c r="H102" i="35"/>
  <c r="H31" i="34"/>
  <c r="H25" i="33"/>
  <c r="I24" i="33"/>
  <c r="I62" i="32"/>
  <c r="H64" i="32"/>
  <c r="H57" i="32"/>
  <c r="H15" i="31"/>
  <c r="H6" i="22"/>
  <c r="K36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9" i="15"/>
  <c r="K50" i="15"/>
  <c r="K51" i="15"/>
  <c r="K52" i="15"/>
  <c r="K53" i="15"/>
  <c r="K54" i="15"/>
  <c r="K55" i="15"/>
  <c r="K56" i="15"/>
  <c r="K57" i="15"/>
  <c r="K58" i="15"/>
  <c r="K59" i="15"/>
  <c r="K60" i="15"/>
  <c r="K61" i="15"/>
  <c r="K62" i="15"/>
  <c r="K63" i="15"/>
  <c r="K64" i="15"/>
  <c r="K65" i="15"/>
  <c r="K66" i="15"/>
  <c r="K67" i="15"/>
  <c r="K68" i="15"/>
  <c r="K69" i="15"/>
  <c r="K70" i="15"/>
  <c r="K71" i="15"/>
  <c r="K72" i="15"/>
  <c r="K73" i="15"/>
  <c r="K74" i="15"/>
  <c r="K75" i="15"/>
  <c r="K76" i="15"/>
  <c r="K77" i="15"/>
  <c r="K78" i="15"/>
  <c r="K79" i="15"/>
  <c r="K80" i="15"/>
  <c r="K81" i="15"/>
  <c r="K82" i="15"/>
  <c r="K83" i="15"/>
  <c r="K84" i="15"/>
  <c r="K85" i="15"/>
  <c r="K86" i="15"/>
  <c r="K87" i="15"/>
  <c r="K88" i="15"/>
  <c r="K89" i="15"/>
  <c r="K90" i="15"/>
  <c r="K91" i="15"/>
  <c r="K92" i="15"/>
  <c r="K93" i="15"/>
  <c r="K94" i="15"/>
  <c r="K95" i="15"/>
  <c r="K96" i="15"/>
  <c r="K97" i="15"/>
  <c r="K35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5" i="15"/>
  <c r="K6" i="15"/>
  <c r="K7" i="15"/>
  <c r="K8" i="15"/>
  <c r="K9" i="15"/>
  <c r="K10" i="15"/>
  <c r="K11" i="15"/>
  <c r="K12" i="15"/>
  <c r="K13" i="15"/>
  <c r="K14" i="15"/>
  <c r="K15" i="15"/>
  <c r="K16" i="15"/>
  <c r="I20" i="20"/>
  <c r="I41" i="20"/>
  <c r="I5" i="20"/>
  <c r="H6" i="20"/>
  <c r="H7" i="20" s="1"/>
  <c r="J17" i="19"/>
  <c r="J35" i="19"/>
  <c r="I5" i="19"/>
  <c r="I6" i="19" s="1"/>
  <c r="I7" i="19" s="1"/>
  <c r="I6" i="20" l="1"/>
  <c r="K34" i="15"/>
  <c r="K98" i="15"/>
  <c r="K17" i="15"/>
  <c r="L56" i="15"/>
  <c r="M55" i="15"/>
  <c r="J47" i="39"/>
  <c r="I49" i="39"/>
  <c r="J48" i="39"/>
  <c r="I50" i="39"/>
  <c r="J61" i="38"/>
  <c r="J64" i="38"/>
  <c r="K59" i="18"/>
  <c r="J37" i="22"/>
  <c r="K37" i="22" s="1"/>
  <c r="J47" i="33"/>
  <c r="K41" i="31"/>
  <c r="L41" i="31" s="1"/>
  <c r="J40" i="32"/>
  <c r="K40" i="32" s="1"/>
  <c r="J35" i="20"/>
  <c r="I8" i="19"/>
  <c r="J7" i="19"/>
  <c r="J6" i="19"/>
  <c r="I58" i="40"/>
  <c r="J58" i="40" s="1"/>
  <c r="I57" i="40"/>
  <c r="J57" i="40" s="1"/>
  <c r="J63" i="37"/>
  <c r="K62" i="37"/>
  <c r="M62" i="37"/>
  <c r="N59" i="37"/>
  <c r="M61" i="37"/>
  <c r="N58" i="37"/>
  <c r="M60" i="37"/>
  <c r="N57" i="37"/>
  <c r="H83" i="35"/>
  <c r="H85" i="35" s="1"/>
  <c r="H87" i="35" s="1"/>
  <c r="H89" i="35" s="1"/>
  <c r="H91" i="35" s="1"/>
  <c r="H93" i="35" s="1"/>
  <c r="H95" i="35" s="1"/>
  <c r="H104" i="35"/>
  <c r="H106" i="35" s="1"/>
  <c r="H32" i="34"/>
  <c r="I31" i="34"/>
  <c r="H26" i="33"/>
  <c r="I25" i="33"/>
  <c r="H59" i="32"/>
  <c r="I59" i="32" s="1"/>
  <c r="H66" i="32"/>
  <c r="H16" i="31"/>
  <c r="H18" i="31" s="1"/>
  <c r="I7" i="20"/>
  <c r="H8" i="20"/>
  <c r="H7" i="22"/>
  <c r="I6" i="22"/>
  <c r="K47" i="33" l="1"/>
  <c r="J48" i="33"/>
  <c r="K99" i="15"/>
  <c r="G72" i="9" s="1"/>
  <c r="L57" i="15"/>
  <c r="J50" i="39"/>
  <c r="I52" i="39"/>
  <c r="J49" i="39"/>
  <c r="I51" i="39"/>
  <c r="J66" i="38"/>
  <c r="J63" i="38"/>
  <c r="I95" i="35"/>
  <c r="K60" i="18"/>
  <c r="K42" i="31"/>
  <c r="L42" i="31" s="1"/>
  <c r="J41" i="32"/>
  <c r="K41" i="32" s="1"/>
  <c r="J36" i="20"/>
  <c r="J38" i="22"/>
  <c r="K38" i="22" s="1"/>
  <c r="I9" i="19"/>
  <c r="J8" i="19"/>
  <c r="I60" i="40"/>
  <c r="J60" i="40" s="1"/>
  <c r="I59" i="40"/>
  <c r="J59" i="40" s="1"/>
  <c r="J64" i="37"/>
  <c r="K63" i="37"/>
  <c r="M64" i="37"/>
  <c r="N61" i="37"/>
  <c r="N62" i="37"/>
  <c r="M65" i="37"/>
  <c r="M63" i="37"/>
  <c r="N60" i="37"/>
  <c r="H34" i="34"/>
  <c r="H27" i="33"/>
  <c r="I26" i="33"/>
  <c r="H68" i="32"/>
  <c r="H61" i="32"/>
  <c r="H9" i="20"/>
  <c r="I8" i="20"/>
  <c r="H8" i="22"/>
  <c r="I7" i="22"/>
  <c r="J14" i="18"/>
  <c r="J15" i="18"/>
  <c r="J16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J30" i="18"/>
  <c r="J31" i="18"/>
  <c r="J32" i="18"/>
  <c r="J33" i="18"/>
  <c r="J34" i="18"/>
  <c r="J35" i="18"/>
  <c r="J37" i="18"/>
  <c r="J38" i="18"/>
  <c r="J40" i="18"/>
  <c r="J41" i="18"/>
  <c r="J42" i="18"/>
  <c r="J43" i="18"/>
  <c r="J44" i="18"/>
  <c r="J45" i="18"/>
  <c r="J46" i="18"/>
  <c r="J47" i="18"/>
  <c r="J48" i="18"/>
  <c r="J49" i="18"/>
  <c r="J50" i="18"/>
  <c r="J51" i="18"/>
  <c r="J52" i="18"/>
  <c r="J53" i="18"/>
  <c r="J54" i="18"/>
  <c r="J55" i="18"/>
  <c r="J56" i="18"/>
  <c r="J57" i="18"/>
  <c r="J58" i="18"/>
  <c r="J59" i="18"/>
  <c r="J60" i="18"/>
  <c r="J61" i="18"/>
  <c r="J62" i="18"/>
  <c r="J63" i="18"/>
  <c r="J64" i="18"/>
  <c r="J65" i="18"/>
  <c r="J66" i="18"/>
  <c r="J67" i="18"/>
  <c r="J68" i="18"/>
  <c r="J69" i="18"/>
  <c r="J70" i="18"/>
  <c r="J71" i="18"/>
  <c r="J72" i="18"/>
  <c r="J73" i="18"/>
  <c r="J74" i="18"/>
  <c r="J75" i="18"/>
  <c r="J76" i="18"/>
  <c r="J77" i="18"/>
  <c r="J78" i="18"/>
  <c r="J79" i="18"/>
  <c r="J80" i="18"/>
  <c r="J81" i="18"/>
  <c r="J82" i="18"/>
  <c r="J83" i="18"/>
  <c r="J84" i="18"/>
  <c r="J85" i="18"/>
  <c r="J86" i="18"/>
  <c r="J87" i="18"/>
  <c r="J88" i="18"/>
  <c r="J89" i="18"/>
  <c r="J90" i="18"/>
  <c r="J91" i="18"/>
  <c r="J92" i="18"/>
  <c r="J93" i="18"/>
  <c r="J94" i="18"/>
  <c r="J95" i="18"/>
  <c r="J96" i="18"/>
  <c r="J97" i="18"/>
  <c r="J98" i="18"/>
  <c r="J99" i="18"/>
  <c r="J100" i="18"/>
  <c r="J101" i="18"/>
  <c r="J102" i="18"/>
  <c r="J103" i="18"/>
  <c r="J104" i="18"/>
  <c r="J105" i="18"/>
  <c r="J5" i="18"/>
  <c r="J6" i="18"/>
  <c r="J7" i="18"/>
  <c r="J8" i="18"/>
  <c r="J9" i="18"/>
  <c r="J10" i="18"/>
  <c r="J12" i="18"/>
  <c r="I5" i="17"/>
  <c r="I7" i="17"/>
  <c r="I8" i="17"/>
  <c r="I9" i="17"/>
  <c r="I10" i="17"/>
  <c r="I11" i="17"/>
  <c r="I12" i="17"/>
  <c r="I14" i="17"/>
  <c r="I16" i="17"/>
  <c r="I17" i="17"/>
  <c r="I18" i="17"/>
  <c r="I20" i="17"/>
  <c r="I21" i="17"/>
  <c r="I24" i="17"/>
  <c r="I25" i="17"/>
  <c r="I26" i="17"/>
  <c r="I27" i="17"/>
  <c r="I29" i="17"/>
  <c r="I30" i="17"/>
  <c r="I31" i="17"/>
  <c r="I32" i="17"/>
  <c r="I34" i="17"/>
  <c r="I35" i="17"/>
  <c r="I36" i="17"/>
  <c r="I40" i="17"/>
  <c r="I46" i="17"/>
  <c r="I59" i="17"/>
  <c r="I73" i="17"/>
  <c r="I81" i="17"/>
  <c r="I91" i="17"/>
  <c r="I102" i="17"/>
  <c r="L5" i="16"/>
  <c r="L6" i="16"/>
  <c r="L7" i="16"/>
  <c r="L8" i="16"/>
  <c r="L9" i="16"/>
  <c r="L10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7" i="16"/>
  <c r="L28" i="16"/>
  <c r="L29" i="16"/>
  <c r="L30" i="16"/>
  <c r="L31" i="16"/>
  <c r="L32" i="16"/>
  <c r="L33" i="16"/>
  <c r="L34" i="16"/>
  <c r="L35" i="16"/>
  <c r="L36" i="16"/>
  <c r="L37" i="16"/>
  <c r="L38" i="16"/>
  <c r="L39" i="16"/>
  <c r="L40" i="16"/>
  <c r="L41" i="16"/>
  <c r="L42" i="16"/>
  <c r="L43" i="16"/>
  <c r="L44" i="16"/>
  <c r="L45" i="16"/>
  <c r="L46" i="16"/>
  <c r="L47" i="16"/>
  <c r="L48" i="16"/>
  <c r="L49" i="16"/>
  <c r="L50" i="16"/>
  <c r="L51" i="16"/>
  <c r="L52" i="16"/>
  <c r="L55" i="16"/>
  <c r="L56" i="16"/>
  <c r="L57" i="16"/>
  <c r="L58" i="16"/>
  <c r="L59" i="16"/>
  <c r="L60" i="16"/>
  <c r="L61" i="16"/>
  <c r="L62" i="16"/>
  <c r="L63" i="16"/>
  <c r="L64" i="16"/>
  <c r="L65" i="16"/>
  <c r="L66" i="16"/>
  <c r="L67" i="16"/>
  <c r="L68" i="16"/>
  <c r="L69" i="16"/>
  <c r="L70" i="16"/>
  <c r="L71" i="16"/>
  <c r="L72" i="16"/>
  <c r="L73" i="16"/>
  <c r="L74" i="16"/>
  <c r="L75" i="16"/>
  <c r="L76" i="16"/>
  <c r="L77" i="16"/>
  <c r="L78" i="16"/>
  <c r="L79" i="16"/>
  <c r="L80" i="16"/>
  <c r="L81" i="16"/>
  <c r="L82" i="16"/>
  <c r="L83" i="16"/>
  <c r="L84" i="16"/>
  <c r="L85" i="16"/>
  <c r="L86" i="16"/>
  <c r="L87" i="16"/>
  <c r="L88" i="16"/>
  <c r="L89" i="16"/>
  <c r="L90" i="16"/>
  <c r="L91" i="16"/>
  <c r="L92" i="16"/>
  <c r="L93" i="16"/>
  <c r="L94" i="16"/>
  <c r="L95" i="16"/>
  <c r="L96" i="16"/>
  <c r="L97" i="16"/>
  <c r="L98" i="16"/>
  <c r="L99" i="16"/>
  <c r="L100" i="16"/>
  <c r="L101" i="16"/>
  <c r="L102" i="16"/>
  <c r="L103" i="16"/>
  <c r="L104" i="16"/>
  <c r="L105" i="16"/>
  <c r="L106" i="16"/>
  <c r="L107" i="16"/>
  <c r="L108" i="16"/>
  <c r="L109" i="16"/>
  <c r="L110" i="16"/>
  <c r="L111" i="16"/>
  <c r="L112" i="16"/>
  <c r="L113" i="16"/>
  <c r="L114" i="16"/>
  <c r="L115" i="16"/>
  <c r="L116" i="16"/>
  <c r="L117" i="16"/>
  <c r="L118" i="16"/>
  <c r="L119" i="16"/>
  <c r="L120" i="16"/>
  <c r="L121" i="16"/>
  <c r="L122" i="16"/>
  <c r="L123" i="16"/>
  <c r="L124" i="16"/>
  <c r="L125" i="16"/>
  <c r="L126" i="16"/>
  <c r="L127" i="16"/>
  <c r="L128" i="16"/>
  <c r="L129" i="16"/>
  <c r="L130" i="16"/>
  <c r="L131" i="16"/>
  <c r="L132" i="16"/>
  <c r="L133" i="16"/>
  <c r="L134" i="16"/>
  <c r="L135" i="16"/>
  <c r="L136" i="16"/>
  <c r="L137" i="16"/>
  <c r="L138" i="16"/>
  <c r="L139" i="16"/>
  <c r="L140" i="16"/>
  <c r="L141" i="16"/>
  <c r="L142" i="16"/>
  <c r="L143" i="16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4" i="15"/>
  <c r="J95" i="15"/>
  <c r="J96" i="15"/>
  <c r="J97" i="15"/>
  <c r="J35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5" i="15"/>
  <c r="J6" i="15"/>
  <c r="J7" i="15"/>
  <c r="J8" i="15"/>
  <c r="J9" i="15"/>
  <c r="J10" i="15"/>
  <c r="J11" i="15"/>
  <c r="J12" i="15"/>
  <c r="J13" i="15"/>
  <c r="J14" i="15"/>
  <c r="J15" i="15"/>
  <c r="J16" i="15"/>
  <c r="K5" i="21"/>
  <c r="K6" i="21"/>
  <c r="K7" i="21"/>
  <c r="K8" i="21"/>
  <c r="K9" i="21"/>
  <c r="K10" i="21"/>
  <c r="K11" i="21"/>
  <c r="K12" i="21"/>
  <c r="K13" i="21"/>
  <c r="K14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6" i="21"/>
  <c r="K37" i="21"/>
  <c r="K38" i="21"/>
  <c r="K39" i="21"/>
  <c r="K40" i="21"/>
  <c r="K41" i="21"/>
  <c r="K42" i="21"/>
  <c r="K43" i="21"/>
  <c r="K44" i="21"/>
  <c r="K45" i="21"/>
  <c r="K46" i="21"/>
  <c r="K47" i="21"/>
  <c r="K48" i="21"/>
  <c r="K49" i="21"/>
  <c r="K50" i="21"/>
  <c r="K51" i="21"/>
  <c r="K52" i="21"/>
  <c r="K53" i="21"/>
  <c r="K54" i="21"/>
  <c r="K55" i="21"/>
  <c r="K56" i="21"/>
  <c r="K57" i="21"/>
  <c r="K58" i="21"/>
  <c r="K59" i="21"/>
  <c r="K60" i="21"/>
  <c r="K61" i="21"/>
  <c r="K62" i="21"/>
  <c r="K63" i="21"/>
  <c r="K64" i="21"/>
  <c r="K65" i="21"/>
  <c r="K66" i="21"/>
  <c r="K67" i="21"/>
  <c r="K68" i="21"/>
  <c r="K69" i="21"/>
  <c r="K70" i="21"/>
  <c r="K71" i="21"/>
  <c r="K72" i="21"/>
  <c r="K73" i="21"/>
  <c r="K74" i="21"/>
  <c r="K75" i="21"/>
  <c r="K76" i="21"/>
  <c r="K77" i="21"/>
  <c r="K78" i="21"/>
  <c r="K79" i="21"/>
  <c r="K80" i="21"/>
  <c r="K81" i="21"/>
  <c r="K82" i="21"/>
  <c r="K83" i="21"/>
  <c r="K84" i="21"/>
  <c r="K85" i="21"/>
  <c r="K86" i="21"/>
  <c r="K87" i="21"/>
  <c r="K88" i="21"/>
  <c r="K89" i="21"/>
  <c r="K90" i="21"/>
  <c r="K91" i="21"/>
  <c r="K92" i="21"/>
  <c r="K93" i="21"/>
  <c r="K94" i="21"/>
  <c r="K95" i="21"/>
  <c r="J5" i="12"/>
  <c r="J6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J69" i="12"/>
  <c r="J70" i="12"/>
  <c r="J71" i="12"/>
  <c r="J72" i="12"/>
  <c r="J73" i="12"/>
  <c r="J74" i="12"/>
  <c r="J75" i="12"/>
  <c r="J76" i="12"/>
  <c r="J77" i="12"/>
  <c r="J78" i="12"/>
  <c r="J79" i="12"/>
  <c r="J80" i="12"/>
  <c r="J81" i="12"/>
  <c r="J82" i="12"/>
  <c r="J83" i="12"/>
  <c r="J84" i="12"/>
  <c r="J85" i="12"/>
  <c r="J86" i="12"/>
  <c r="J87" i="12"/>
  <c r="J88" i="12"/>
  <c r="J89" i="12"/>
  <c r="J90" i="12"/>
  <c r="J91" i="12"/>
  <c r="J92" i="12"/>
  <c r="J93" i="12"/>
  <c r="J94" i="12"/>
  <c r="J95" i="12"/>
  <c r="J96" i="12"/>
  <c r="J97" i="12"/>
  <c r="J98" i="12"/>
  <c r="J99" i="12"/>
  <c r="J8" i="13"/>
  <c r="J26" i="13"/>
  <c r="J32" i="13"/>
  <c r="J46" i="13"/>
  <c r="J55" i="13"/>
  <c r="J56" i="13"/>
  <c r="J63" i="13"/>
  <c r="J69" i="13"/>
  <c r="J70" i="13"/>
  <c r="J83" i="13"/>
  <c r="J92" i="13"/>
  <c r="J94" i="13"/>
  <c r="J102" i="13"/>
  <c r="J107" i="13"/>
  <c r="J108" i="13"/>
  <c r="J109" i="13"/>
  <c r="J113" i="13"/>
  <c r="J5" i="13"/>
  <c r="H6" i="13"/>
  <c r="J6" i="13" s="1"/>
  <c r="L58" i="15" l="1"/>
  <c r="J51" i="39"/>
  <c r="I53" i="39"/>
  <c r="J52" i="39"/>
  <c r="I54" i="39"/>
  <c r="J65" i="38"/>
  <c r="J68" i="38"/>
  <c r="H98" i="35"/>
  <c r="H100" i="35" s="1"/>
  <c r="K61" i="18"/>
  <c r="J54" i="17"/>
  <c r="J39" i="22"/>
  <c r="K39" i="22" s="1"/>
  <c r="K43" i="31"/>
  <c r="L43" i="31" s="1"/>
  <c r="J37" i="20"/>
  <c r="K37" i="20" s="1"/>
  <c r="K48" i="33"/>
  <c r="J42" i="32"/>
  <c r="K42" i="32" s="1"/>
  <c r="I10" i="19"/>
  <c r="J9" i="19"/>
  <c r="I61" i="40"/>
  <c r="I62" i="40"/>
  <c r="J65" i="37"/>
  <c r="N65" i="37" s="1"/>
  <c r="K64" i="37"/>
  <c r="N63" i="37"/>
  <c r="M66" i="37"/>
  <c r="M68" i="37"/>
  <c r="M67" i="37"/>
  <c r="N64" i="37"/>
  <c r="H36" i="34"/>
  <c r="H35" i="34"/>
  <c r="H28" i="33"/>
  <c r="I27" i="33"/>
  <c r="H63" i="32"/>
  <c r="H70" i="32"/>
  <c r="H10" i="20"/>
  <c r="I9" i="20"/>
  <c r="H9" i="22"/>
  <c r="I8" i="22"/>
  <c r="H7" i="13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F61" i="20"/>
  <c r="F62" i="20"/>
  <c r="F63" i="20"/>
  <c r="F64" i="20"/>
  <c r="F65" i="20"/>
  <c r="F66" i="20"/>
  <c r="F67" i="20"/>
  <c r="F68" i="20"/>
  <c r="F69" i="20"/>
  <c r="F70" i="20"/>
  <c r="F71" i="20"/>
  <c r="F72" i="20"/>
  <c r="F73" i="20"/>
  <c r="F74" i="20"/>
  <c r="F75" i="20"/>
  <c r="F76" i="20"/>
  <c r="F77" i="20"/>
  <c r="F78" i="20"/>
  <c r="F79" i="20"/>
  <c r="F80" i="20"/>
  <c r="F81" i="20"/>
  <c r="F82" i="20"/>
  <c r="F83" i="20"/>
  <c r="F84" i="20"/>
  <c r="F85" i="20"/>
  <c r="F86" i="20"/>
  <c r="F87" i="20"/>
  <c r="F88" i="20"/>
  <c r="F89" i="20"/>
  <c r="F90" i="20"/>
  <c r="F91" i="20"/>
  <c r="F92" i="20"/>
  <c r="F93" i="20"/>
  <c r="F94" i="20"/>
  <c r="F95" i="20"/>
  <c r="F96" i="20"/>
  <c r="F97" i="20"/>
  <c r="F98" i="20"/>
  <c r="F99" i="20"/>
  <c r="F100" i="20"/>
  <c r="F101" i="20"/>
  <c r="F102" i="20"/>
  <c r="F103" i="20"/>
  <c r="F104" i="20"/>
  <c r="F105" i="20"/>
  <c r="F106" i="20"/>
  <c r="F107" i="20"/>
  <c r="F108" i="20"/>
  <c r="F109" i="20"/>
  <c r="F110" i="20"/>
  <c r="F111" i="20"/>
  <c r="F42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6" i="20"/>
  <c r="F7" i="20"/>
  <c r="F8" i="20"/>
  <c r="F9" i="20"/>
  <c r="F10" i="20"/>
  <c r="F11" i="20"/>
  <c r="F12" i="20"/>
  <c r="F13" i="20"/>
  <c r="F14" i="20"/>
  <c r="F15" i="20"/>
  <c r="F16" i="20"/>
  <c r="F17" i="20"/>
  <c r="F18" i="20"/>
  <c r="F19" i="20"/>
  <c r="F5" i="20"/>
  <c r="G37" i="19"/>
  <c r="G38" i="19"/>
  <c r="G39" i="19"/>
  <c r="G40" i="19"/>
  <c r="G41" i="19"/>
  <c r="G42" i="19"/>
  <c r="G43" i="19"/>
  <c r="G44" i="19"/>
  <c r="G45" i="19"/>
  <c r="G46" i="19"/>
  <c r="G47" i="19"/>
  <c r="G48" i="19"/>
  <c r="G49" i="19"/>
  <c r="G50" i="19"/>
  <c r="G51" i="19"/>
  <c r="G52" i="19"/>
  <c r="G53" i="19"/>
  <c r="G54" i="19"/>
  <c r="G55" i="19"/>
  <c r="G56" i="19"/>
  <c r="G57" i="19"/>
  <c r="G58" i="19"/>
  <c r="G59" i="19"/>
  <c r="G60" i="19"/>
  <c r="G61" i="19"/>
  <c r="G62" i="19"/>
  <c r="G63" i="19"/>
  <c r="G64" i="19"/>
  <c r="G65" i="19"/>
  <c r="G66" i="19"/>
  <c r="G67" i="19"/>
  <c r="G68" i="19"/>
  <c r="G69" i="19"/>
  <c r="G70" i="19"/>
  <c r="G71" i="19"/>
  <c r="G72" i="19"/>
  <c r="G73" i="19"/>
  <c r="G74" i="19"/>
  <c r="G75" i="19"/>
  <c r="G76" i="19"/>
  <c r="G77" i="19"/>
  <c r="G78" i="19"/>
  <c r="G79" i="19"/>
  <c r="G80" i="19"/>
  <c r="G81" i="19"/>
  <c r="G82" i="19"/>
  <c r="G83" i="19"/>
  <c r="G84" i="19"/>
  <c r="G85" i="19"/>
  <c r="G86" i="19"/>
  <c r="G87" i="19"/>
  <c r="G88" i="19"/>
  <c r="G89" i="19"/>
  <c r="G90" i="19"/>
  <c r="G91" i="19"/>
  <c r="G92" i="19"/>
  <c r="G93" i="19"/>
  <c r="G94" i="19"/>
  <c r="G95" i="19"/>
  <c r="G96" i="19"/>
  <c r="G97" i="19"/>
  <c r="G98" i="19"/>
  <c r="G99" i="19"/>
  <c r="G100" i="19"/>
  <c r="G101" i="19"/>
  <c r="G102" i="19"/>
  <c r="G103" i="19"/>
  <c r="G104" i="19"/>
  <c r="G36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5" i="19"/>
  <c r="G6" i="19"/>
  <c r="G7" i="19"/>
  <c r="G8" i="19"/>
  <c r="G9" i="19"/>
  <c r="G10" i="19"/>
  <c r="G11" i="19"/>
  <c r="G12" i="19"/>
  <c r="G13" i="19"/>
  <c r="G14" i="19"/>
  <c r="G15" i="19"/>
  <c r="G16" i="19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103" i="18"/>
  <c r="G104" i="18"/>
  <c r="G105" i="18"/>
  <c r="G3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5" i="18"/>
  <c r="G6" i="18"/>
  <c r="G7" i="18"/>
  <c r="G8" i="18"/>
  <c r="G9" i="18"/>
  <c r="G10" i="18"/>
  <c r="G11" i="18"/>
  <c r="G12" i="18"/>
  <c r="G13" i="18"/>
  <c r="G14" i="18"/>
  <c r="G15" i="18"/>
  <c r="G16" i="18"/>
  <c r="F5" i="17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F62" i="17"/>
  <c r="F63" i="17"/>
  <c r="F64" i="17"/>
  <c r="F65" i="17"/>
  <c r="F66" i="17"/>
  <c r="F67" i="17"/>
  <c r="F68" i="17"/>
  <c r="F69" i="17"/>
  <c r="F70" i="17"/>
  <c r="F71" i="17"/>
  <c r="F72" i="17"/>
  <c r="F73" i="17"/>
  <c r="F74" i="17"/>
  <c r="F75" i="17"/>
  <c r="F76" i="17"/>
  <c r="F77" i="17"/>
  <c r="F78" i="17"/>
  <c r="F79" i="17"/>
  <c r="F80" i="17"/>
  <c r="F81" i="17"/>
  <c r="F82" i="17"/>
  <c r="F83" i="17"/>
  <c r="F84" i="17"/>
  <c r="F85" i="17"/>
  <c r="F86" i="17"/>
  <c r="F87" i="17"/>
  <c r="F88" i="17"/>
  <c r="F89" i="17"/>
  <c r="F90" i="17"/>
  <c r="F91" i="17"/>
  <c r="F92" i="17"/>
  <c r="F93" i="17"/>
  <c r="F94" i="17"/>
  <c r="F95" i="17"/>
  <c r="F96" i="17"/>
  <c r="F97" i="17"/>
  <c r="F98" i="17"/>
  <c r="F99" i="17"/>
  <c r="F100" i="17"/>
  <c r="F101" i="17"/>
  <c r="F102" i="17"/>
  <c r="F103" i="17"/>
  <c r="F104" i="17"/>
  <c r="F105" i="17"/>
  <c r="F106" i="17"/>
  <c r="F107" i="17"/>
  <c r="F108" i="17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I72" i="16"/>
  <c r="I73" i="16"/>
  <c r="I74" i="16"/>
  <c r="I75" i="16"/>
  <c r="I76" i="16"/>
  <c r="I77" i="16"/>
  <c r="I78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I93" i="16"/>
  <c r="I94" i="16"/>
  <c r="I95" i="16"/>
  <c r="I96" i="16"/>
  <c r="I97" i="16"/>
  <c r="I98" i="16"/>
  <c r="I99" i="16"/>
  <c r="I100" i="16"/>
  <c r="I101" i="16"/>
  <c r="I102" i="16"/>
  <c r="I103" i="16"/>
  <c r="I104" i="16"/>
  <c r="I105" i="16"/>
  <c r="I106" i="16"/>
  <c r="I107" i="16"/>
  <c r="I108" i="16"/>
  <c r="I109" i="16"/>
  <c r="I110" i="16"/>
  <c r="I111" i="16"/>
  <c r="I112" i="16"/>
  <c r="I113" i="16"/>
  <c r="I114" i="16"/>
  <c r="I115" i="16"/>
  <c r="I116" i="16"/>
  <c r="I117" i="16"/>
  <c r="I118" i="16"/>
  <c r="I119" i="16"/>
  <c r="I120" i="16"/>
  <c r="I121" i="16"/>
  <c r="I122" i="16"/>
  <c r="I123" i="16"/>
  <c r="I124" i="16"/>
  <c r="I125" i="16"/>
  <c r="I126" i="16"/>
  <c r="I127" i="16"/>
  <c r="I128" i="16"/>
  <c r="I129" i="16"/>
  <c r="I130" i="16"/>
  <c r="I131" i="16"/>
  <c r="I132" i="16"/>
  <c r="I133" i="16"/>
  <c r="I134" i="16"/>
  <c r="I135" i="16"/>
  <c r="I136" i="16"/>
  <c r="I137" i="16"/>
  <c r="I138" i="16"/>
  <c r="I139" i="16"/>
  <c r="I140" i="16"/>
  <c r="I141" i="16"/>
  <c r="I142" i="16"/>
  <c r="I143" i="16"/>
  <c r="G5" i="15"/>
  <c r="G6" i="15"/>
  <c r="G7" i="15"/>
  <c r="G8" i="15"/>
  <c r="G9" i="15"/>
  <c r="G10" i="15"/>
  <c r="G11" i="15"/>
  <c r="G12" i="15"/>
  <c r="G13" i="15"/>
  <c r="G14" i="15"/>
  <c r="G15" i="15"/>
  <c r="G16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53" i="15"/>
  <c r="G54" i="15"/>
  <c r="G55" i="15"/>
  <c r="G56" i="15"/>
  <c r="G57" i="15"/>
  <c r="G58" i="15"/>
  <c r="G59" i="15"/>
  <c r="G60" i="15"/>
  <c r="G61" i="15"/>
  <c r="G62" i="15"/>
  <c r="G63" i="15"/>
  <c r="G64" i="15"/>
  <c r="G65" i="15"/>
  <c r="G66" i="15"/>
  <c r="G67" i="15"/>
  <c r="G68" i="15"/>
  <c r="G69" i="15"/>
  <c r="G70" i="15"/>
  <c r="G71" i="15"/>
  <c r="G72" i="15"/>
  <c r="G73" i="15"/>
  <c r="G74" i="15"/>
  <c r="G75" i="15"/>
  <c r="G76" i="15"/>
  <c r="G77" i="15"/>
  <c r="G78" i="15"/>
  <c r="G79" i="15"/>
  <c r="G80" i="15"/>
  <c r="G81" i="15"/>
  <c r="G82" i="15"/>
  <c r="G83" i="15"/>
  <c r="G84" i="15"/>
  <c r="G85" i="15"/>
  <c r="G86" i="15"/>
  <c r="G87" i="15"/>
  <c r="G88" i="15"/>
  <c r="G89" i="15"/>
  <c r="G90" i="15"/>
  <c r="G91" i="15"/>
  <c r="G92" i="15"/>
  <c r="G93" i="15"/>
  <c r="G94" i="15"/>
  <c r="G95" i="15"/>
  <c r="G96" i="15"/>
  <c r="G97" i="15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5" i="14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A36" i="9"/>
  <c r="A14" i="9"/>
  <c r="L59" i="15" l="1"/>
  <c r="J54" i="39"/>
  <c r="I56" i="39"/>
  <c r="J53" i="39"/>
  <c r="I55" i="39"/>
  <c r="J70" i="38"/>
  <c r="J67" i="38"/>
  <c r="K62" i="18"/>
  <c r="J55" i="17"/>
  <c r="J43" i="32"/>
  <c r="K43" i="32" s="1"/>
  <c r="J40" i="22"/>
  <c r="K40" i="22" s="1"/>
  <c r="J49" i="33"/>
  <c r="K49" i="33" s="1"/>
  <c r="J38" i="20"/>
  <c r="K44" i="31"/>
  <c r="L44" i="31" s="1"/>
  <c r="I11" i="19"/>
  <c r="J10" i="19"/>
  <c r="G98" i="15"/>
  <c r="G34" i="15"/>
  <c r="G17" i="15"/>
  <c r="I64" i="40"/>
  <c r="I63" i="40"/>
  <c r="J63" i="40" s="1"/>
  <c r="J66" i="37"/>
  <c r="N66" i="37" s="1"/>
  <c r="K65" i="37"/>
  <c r="M70" i="37"/>
  <c r="M71" i="37"/>
  <c r="M69" i="37"/>
  <c r="H103" i="35"/>
  <c r="H37" i="34"/>
  <c r="I36" i="34"/>
  <c r="H38" i="34"/>
  <c r="H29" i="33"/>
  <c r="I28" i="33"/>
  <c r="H72" i="32"/>
  <c r="H74" i="32" s="1"/>
  <c r="H65" i="32"/>
  <c r="H19" i="31"/>
  <c r="H11" i="20"/>
  <c r="I10" i="20"/>
  <c r="H10" i="22"/>
  <c r="I9" i="22"/>
  <c r="F137" i="22"/>
  <c r="F41" i="20"/>
  <c r="F20" i="20"/>
  <c r="F112" i="20"/>
  <c r="G17" i="19"/>
  <c r="G105" i="19"/>
  <c r="G35" i="19"/>
  <c r="G17" i="18"/>
  <c r="G36" i="18"/>
  <c r="G106" i="18"/>
  <c r="J7" i="13"/>
  <c r="H9" i="13"/>
  <c r="F5" i="21"/>
  <c r="H5" i="21" s="1"/>
  <c r="F6" i="21"/>
  <c r="H6" i="21" s="1"/>
  <c r="F7" i="21"/>
  <c r="H7" i="21" s="1"/>
  <c r="F8" i="21"/>
  <c r="H8" i="21" s="1"/>
  <c r="F9" i="21"/>
  <c r="H9" i="21" s="1"/>
  <c r="F10" i="21"/>
  <c r="H10" i="21" s="1"/>
  <c r="F11" i="21"/>
  <c r="H11" i="21" s="1"/>
  <c r="F12" i="21"/>
  <c r="H12" i="21" s="1"/>
  <c r="F13" i="21"/>
  <c r="H13" i="21" s="1"/>
  <c r="F14" i="21"/>
  <c r="H14" i="21" s="1"/>
  <c r="F15" i="21"/>
  <c r="H15" i="21" s="1"/>
  <c r="F16" i="21"/>
  <c r="H16" i="21" s="1"/>
  <c r="F17" i="21"/>
  <c r="H17" i="21" s="1"/>
  <c r="F18" i="21"/>
  <c r="H18" i="21" s="1"/>
  <c r="F19" i="21"/>
  <c r="H19" i="21" s="1"/>
  <c r="F21" i="21"/>
  <c r="H21" i="21" s="1"/>
  <c r="F22" i="21"/>
  <c r="H22" i="21" s="1"/>
  <c r="F23" i="21"/>
  <c r="H23" i="21" s="1"/>
  <c r="F24" i="21"/>
  <c r="H24" i="21" s="1"/>
  <c r="F25" i="21"/>
  <c r="H25" i="21" s="1"/>
  <c r="F26" i="21"/>
  <c r="H26" i="21" s="1"/>
  <c r="F27" i="21"/>
  <c r="H27" i="21" s="1"/>
  <c r="F28" i="21"/>
  <c r="H28" i="21" s="1"/>
  <c r="F29" i="21"/>
  <c r="H29" i="21" s="1"/>
  <c r="F30" i="21"/>
  <c r="H30" i="21" s="1"/>
  <c r="F31" i="21"/>
  <c r="H31" i="21" s="1"/>
  <c r="F32" i="21"/>
  <c r="H32" i="21" s="1"/>
  <c r="F33" i="21"/>
  <c r="H33" i="21" s="1"/>
  <c r="F34" i="21"/>
  <c r="H34" i="21" s="1"/>
  <c r="F36" i="21"/>
  <c r="H36" i="21" s="1"/>
  <c r="F37" i="21"/>
  <c r="H37" i="21" s="1"/>
  <c r="F38" i="21"/>
  <c r="H38" i="21" s="1"/>
  <c r="F39" i="21"/>
  <c r="H39" i="21" s="1"/>
  <c r="F40" i="21"/>
  <c r="H40" i="21" s="1"/>
  <c r="F41" i="21"/>
  <c r="H41" i="21" s="1"/>
  <c r="F42" i="21"/>
  <c r="H42" i="21" s="1"/>
  <c r="F43" i="21"/>
  <c r="H43" i="21" s="1"/>
  <c r="F44" i="21"/>
  <c r="H44" i="21" s="1"/>
  <c r="F45" i="21"/>
  <c r="H45" i="21" s="1"/>
  <c r="F46" i="21"/>
  <c r="H46" i="21" s="1"/>
  <c r="F47" i="21"/>
  <c r="H47" i="21" s="1"/>
  <c r="F48" i="21"/>
  <c r="H48" i="21" s="1"/>
  <c r="F49" i="21"/>
  <c r="H49" i="21" s="1"/>
  <c r="F50" i="21"/>
  <c r="H50" i="21" s="1"/>
  <c r="F51" i="21"/>
  <c r="H51" i="21" s="1"/>
  <c r="F52" i="21"/>
  <c r="H52" i="21" s="1"/>
  <c r="F53" i="21"/>
  <c r="H53" i="21" s="1"/>
  <c r="F54" i="21"/>
  <c r="H54" i="21" s="1"/>
  <c r="F55" i="21"/>
  <c r="H55" i="21" s="1"/>
  <c r="F56" i="21"/>
  <c r="H56" i="21" s="1"/>
  <c r="F57" i="21"/>
  <c r="H57" i="21" s="1"/>
  <c r="F58" i="21"/>
  <c r="H58" i="21" s="1"/>
  <c r="F59" i="21"/>
  <c r="H59" i="21" s="1"/>
  <c r="F60" i="21"/>
  <c r="H60" i="21" s="1"/>
  <c r="F61" i="21"/>
  <c r="H61" i="21" s="1"/>
  <c r="F62" i="21"/>
  <c r="H62" i="21" s="1"/>
  <c r="F63" i="21"/>
  <c r="H63" i="21" s="1"/>
  <c r="F64" i="21"/>
  <c r="H64" i="21" s="1"/>
  <c r="F65" i="21"/>
  <c r="H65" i="21" s="1"/>
  <c r="F66" i="21"/>
  <c r="H66" i="21" s="1"/>
  <c r="F67" i="21"/>
  <c r="H67" i="21" s="1"/>
  <c r="F68" i="21"/>
  <c r="H68" i="21" s="1"/>
  <c r="F69" i="21"/>
  <c r="H69" i="21" s="1"/>
  <c r="F70" i="21"/>
  <c r="H70" i="21" s="1"/>
  <c r="F71" i="21"/>
  <c r="H71" i="21" s="1"/>
  <c r="F72" i="21"/>
  <c r="H72" i="21" s="1"/>
  <c r="F73" i="21"/>
  <c r="H73" i="21" s="1"/>
  <c r="F74" i="21"/>
  <c r="H74" i="21" s="1"/>
  <c r="F75" i="21"/>
  <c r="H75" i="21" s="1"/>
  <c r="F76" i="21"/>
  <c r="H76" i="21" s="1"/>
  <c r="F77" i="21"/>
  <c r="H77" i="21" s="1"/>
  <c r="F78" i="21"/>
  <c r="H78" i="21" s="1"/>
  <c r="F79" i="21"/>
  <c r="H79" i="21" s="1"/>
  <c r="F80" i="21"/>
  <c r="H80" i="21" s="1"/>
  <c r="F81" i="21"/>
  <c r="H81" i="21" s="1"/>
  <c r="F82" i="21"/>
  <c r="H82" i="21" s="1"/>
  <c r="F83" i="21"/>
  <c r="H83" i="21" s="1"/>
  <c r="F84" i="21"/>
  <c r="H84" i="21" s="1"/>
  <c r="F85" i="21"/>
  <c r="H85" i="21" s="1"/>
  <c r="F86" i="21"/>
  <c r="H86" i="21" s="1"/>
  <c r="F87" i="21"/>
  <c r="H87" i="21" s="1"/>
  <c r="F88" i="21"/>
  <c r="H88" i="21" s="1"/>
  <c r="F89" i="21"/>
  <c r="H89" i="21" s="1"/>
  <c r="F90" i="21"/>
  <c r="H90" i="21" s="1"/>
  <c r="F91" i="21"/>
  <c r="H91" i="21" s="1"/>
  <c r="F92" i="21"/>
  <c r="H92" i="21" s="1"/>
  <c r="F93" i="21"/>
  <c r="H93" i="21" s="1"/>
  <c r="F94" i="21"/>
  <c r="H94" i="21" s="1"/>
  <c r="F95" i="21"/>
  <c r="H95" i="21" s="1"/>
  <c r="C96" i="21"/>
  <c r="D95" i="21"/>
  <c r="E95" i="21" s="1"/>
  <c r="D94" i="21"/>
  <c r="D93" i="21"/>
  <c r="D92" i="21"/>
  <c r="D91" i="21"/>
  <c r="E91" i="21" s="1"/>
  <c r="D90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D79" i="21"/>
  <c r="D78" i="21"/>
  <c r="D77" i="21"/>
  <c r="E77" i="21" s="1"/>
  <c r="D76" i="21"/>
  <c r="D75" i="21"/>
  <c r="E75" i="21" s="1"/>
  <c r="D74" i="21"/>
  <c r="E74" i="21" s="1"/>
  <c r="D73" i="21"/>
  <c r="E73" i="21" s="1"/>
  <c r="D72" i="21"/>
  <c r="D71" i="21"/>
  <c r="D70" i="21"/>
  <c r="E70" i="21" s="1"/>
  <c r="D69" i="21"/>
  <c r="E69" i="21" s="1"/>
  <c r="D68" i="21"/>
  <c r="D67" i="21"/>
  <c r="E67" i="21" s="1"/>
  <c r="D66" i="21"/>
  <c r="D65" i="21"/>
  <c r="E65" i="21" s="1"/>
  <c r="D64" i="21"/>
  <c r="E64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D53" i="21"/>
  <c r="E53" i="21" s="1"/>
  <c r="G53" i="21" s="1"/>
  <c r="M53" i="21" s="1"/>
  <c r="D52" i="21"/>
  <c r="E52" i="21" s="1"/>
  <c r="D51" i="21"/>
  <c r="E51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D44" i="21"/>
  <c r="D43" i="21"/>
  <c r="E43" i="21" s="1"/>
  <c r="D42" i="21"/>
  <c r="E42" i="21" s="1"/>
  <c r="D41" i="21"/>
  <c r="D40" i="21"/>
  <c r="D39" i="21"/>
  <c r="E39" i="21" s="1"/>
  <c r="D38" i="21"/>
  <c r="E38" i="21" s="1"/>
  <c r="D37" i="21"/>
  <c r="D36" i="21"/>
  <c r="C35" i="21"/>
  <c r="D34" i="21"/>
  <c r="D33" i="21"/>
  <c r="E33" i="21" s="1"/>
  <c r="D32" i="21"/>
  <c r="E32" i="21" s="1"/>
  <c r="D31" i="21"/>
  <c r="D30" i="21"/>
  <c r="D29" i="21"/>
  <c r="D28" i="21"/>
  <c r="D27" i="21"/>
  <c r="D26" i="21"/>
  <c r="D25" i="21"/>
  <c r="D24" i="21"/>
  <c r="D23" i="21"/>
  <c r="D22" i="21"/>
  <c r="D21" i="21"/>
  <c r="C20" i="21"/>
  <c r="D19" i="21"/>
  <c r="D18" i="21"/>
  <c r="D17" i="21"/>
  <c r="D16" i="21"/>
  <c r="E15" i="21"/>
  <c r="D14" i="21"/>
  <c r="D13" i="21"/>
  <c r="D12" i="21"/>
  <c r="D11" i="21"/>
  <c r="D10" i="21"/>
  <c r="D9" i="21"/>
  <c r="D8" i="21"/>
  <c r="D7" i="21"/>
  <c r="D6" i="21"/>
  <c r="D5" i="21"/>
  <c r="A33" i="9"/>
  <c r="A30" i="9"/>
  <c r="A27" i="9"/>
  <c r="A24" i="9"/>
  <c r="A21" i="9"/>
  <c r="A18" i="9"/>
  <c r="A11" i="9"/>
  <c r="A8" i="9"/>
  <c r="C112" i="20"/>
  <c r="E35" i="20"/>
  <c r="K35" i="20" s="1"/>
  <c r="E33" i="20"/>
  <c r="K33" i="20" s="1"/>
  <c r="E32" i="20"/>
  <c r="K32" i="20" s="1"/>
  <c r="C41" i="20"/>
  <c r="C20" i="20"/>
  <c r="E17" i="20"/>
  <c r="K17" i="20" s="1"/>
  <c r="E16" i="20"/>
  <c r="K16" i="20" s="1"/>
  <c r="E15" i="20"/>
  <c r="K15" i="20" s="1"/>
  <c r="E14" i="20"/>
  <c r="K14" i="20" s="1"/>
  <c r="D111" i="20"/>
  <c r="D110" i="20"/>
  <c r="D109" i="20"/>
  <c r="D107" i="20"/>
  <c r="D106" i="20"/>
  <c r="D105" i="20"/>
  <c r="D104" i="20"/>
  <c r="D103" i="20"/>
  <c r="D101" i="20"/>
  <c r="D100" i="20"/>
  <c r="D99" i="20"/>
  <c r="D98" i="20"/>
  <c r="D97" i="20"/>
  <c r="D96" i="20"/>
  <c r="D95" i="20"/>
  <c r="D94" i="20"/>
  <c r="D93" i="20"/>
  <c r="D92" i="20"/>
  <c r="D91" i="20"/>
  <c r="D90" i="20"/>
  <c r="D89" i="20"/>
  <c r="D87" i="20"/>
  <c r="D86" i="20"/>
  <c r="D85" i="20"/>
  <c r="D84" i="20"/>
  <c r="D83" i="20"/>
  <c r="D81" i="20"/>
  <c r="D80" i="20"/>
  <c r="D79" i="20"/>
  <c r="D78" i="20"/>
  <c r="D77" i="20"/>
  <c r="D76" i="20"/>
  <c r="D75" i="20"/>
  <c r="D74" i="20"/>
  <c r="D73" i="20"/>
  <c r="D72" i="20"/>
  <c r="D71" i="20"/>
  <c r="D70" i="20"/>
  <c r="D69" i="20"/>
  <c r="D68" i="20"/>
  <c r="D67" i="20"/>
  <c r="D66" i="20"/>
  <c r="D65" i="20"/>
  <c r="D64" i="20"/>
  <c r="D63" i="20"/>
  <c r="D62" i="20"/>
  <c r="D61" i="20"/>
  <c r="D60" i="20"/>
  <c r="D59" i="20"/>
  <c r="D58" i="20"/>
  <c r="D57" i="20"/>
  <c r="D56" i="20"/>
  <c r="D55" i="20"/>
  <c r="D54" i="20"/>
  <c r="D53" i="20"/>
  <c r="D52" i="20"/>
  <c r="D51" i="20"/>
  <c r="D50" i="20"/>
  <c r="D49" i="20"/>
  <c r="D47" i="20"/>
  <c r="D46" i="20"/>
  <c r="D45" i="20"/>
  <c r="D44" i="20"/>
  <c r="D43" i="20"/>
  <c r="D42" i="20"/>
  <c r="D40" i="20"/>
  <c r="D39" i="20"/>
  <c r="D37" i="20"/>
  <c r="D34" i="20"/>
  <c r="D31" i="20"/>
  <c r="D30" i="20"/>
  <c r="D27" i="20"/>
  <c r="D26" i="20"/>
  <c r="D25" i="20"/>
  <c r="D24" i="20"/>
  <c r="D23" i="20"/>
  <c r="D22" i="20"/>
  <c r="D19" i="20"/>
  <c r="D18" i="20"/>
  <c r="D13" i="20"/>
  <c r="D11" i="20"/>
  <c r="D9" i="20"/>
  <c r="D7" i="20"/>
  <c r="D5" i="20"/>
  <c r="G38" i="21" l="1"/>
  <c r="M38" i="21" s="1"/>
  <c r="G46" i="21"/>
  <c r="M46" i="21" s="1"/>
  <c r="G86" i="21"/>
  <c r="M86" i="21" s="1"/>
  <c r="G33" i="21"/>
  <c r="M33" i="21" s="1"/>
  <c r="G49" i="21"/>
  <c r="M49" i="21" s="1"/>
  <c r="G65" i="21"/>
  <c r="M65" i="21" s="1"/>
  <c r="G57" i="21"/>
  <c r="M57" i="21" s="1"/>
  <c r="G42" i="21"/>
  <c r="M42" i="21" s="1"/>
  <c r="L60" i="15"/>
  <c r="G61" i="21"/>
  <c r="M61" i="21" s="1"/>
  <c r="G89" i="21"/>
  <c r="M89" i="21" s="1"/>
  <c r="J55" i="39"/>
  <c r="I57" i="39"/>
  <c r="J56" i="39"/>
  <c r="I58" i="39"/>
  <c r="J69" i="38"/>
  <c r="J74" i="38"/>
  <c r="K63" i="18"/>
  <c r="J56" i="17"/>
  <c r="J39" i="20"/>
  <c r="K39" i="20" s="1"/>
  <c r="J50" i="33"/>
  <c r="K50" i="33" s="1"/>
  <c r="J44" i="32"/>
  <c r="K44" i="32" s="1"/>
  <c r="K45" i="31"/>
  <c r="L45" i="31" s="1"/>
  <c r="J41" i="22"/>
  <c r="K41" i="22" s="1"/>
  <c r="I12" i="19"/>
  <c r="G107" i="18"/>
  <c r="H20" i="21"/>
  <c r="H96" i="21"/>
  <c r="H35" i="21"/>
  <c r="I65" i="40"/>
  <c r="I66" i="40"/>
  <c r="J67" i="37"/>
  <c r="K66" i="37"/>
  <c r="M72" i="37"/>
  <c r="M74" i="37"/>
  <c r="M73" i="37"/>
  <c r="H105" i="35"/>
  <c r="I38" i="34"/>
  <c r="H40" i="34"/>
  <c r="I37" i="34"/>
  <c r="H39" i="34"/>
  <c r="H30" i="33"/>
  <c r="I29" i="33"/>
  <c r="H67" i="32"/>
  <c r="H76" i="32"/>
  <c r="H20" i="31"/>
  <c r="E44" i="20"/>
  <c r="E84" i="20"/>
  <c r="E93" i="20"/>
  <c r="E100" i="20"/>
  <c r="E107" i="20"/>
  <c r="D20" i="20"/>
  <c r="E31" i="20"/>
  <c r="K31" i="20" s="1"/>
  <c r="E45" i="20"/>
  <c r="E54" i="20"/>
  <c r="E61" i="20"/>
  <c r="E69" i="20"/>
  <c r="E77" i="20"/>
  <c r="E85" i="20"/>
  <c r="E94" i="20"/>
  <c r="E108" i="20"/>
  <c r="E53" i="20"/>
  <c r="E21" i="20"/>
  <c r="K21" i="20" s="1"/>
  <c r="E70" i="20"/>
  <c r="E110" i="20"/>
  <c r="E8" i="20"/>
  <c r="K8" i="20" s="1"/>
  <c r="E23" i="20"/>
  <c r="K23" i="20" s="1"/>
  <c r="E36" i="20"/>
  <c r="K36" i="20" s="1"/>
  <c r="E47" i="20"/>
  <c r="E71" i="20"/>
  <c r="E87" i="20"/>
  <c r="E95" i="20"/>
  <c r="E102" i="20"/>
  <c r="E111" i="20"/>
  <c r="E68" i="20"/>
  <c r="E55" i="20"/>
  <c r="E101" i="20"/>
  <c r="E10" i="20"/>
  <c r="K10" i="20" s="1"/>
  <c r="E24" i="20"/>
  <c r="K24" i="20" s="1"/>
  <c r="E38" i="20"/>
  <c r="K38" i="20" s="1"/>
  <c r="E48" i="20"/>
  <c r="E56" i="20"/>
  <c r="E64" i="20"/>
  <c r="E72" i="20"/>
  <c r="E79" i="20"/>
  <c r="E88" i="20"/>
  <c r="E96" i="20"/>
  <c r="E104" i="20"/>
  <c r="E28" i="20"/>
  <c r="K28" i="20" s="1"/>
  <c r="E76" i="20"/>
  <c r="E34" i="20"/>
  <c r="K34" i="20" s="1"/>
  <c r="E78" i="20"/>
  <c r="E12" i="20"/>
  <c r="K12" i="20" s="1"/>
  <c r="E50" i="20"/>
  <c r="E57" i="20"/>
  <c r="E65" i="20"/>
  <c r="E73" i="20"/>
  <c r="E80" i="20"/>
  <c r="E90" i="20"/>
  <c r="E97" i="20"/>
  <c r="E105" i="20"/>
  <c r="F113" i="20"/>
  <c r="H12" i="20"/>
  <c r="I11" i="20"/>
  <c r="E46" i="20"/>
  <c r="E86" i="20"/>
  <c r="E40" i="20"/>
  <c r="E26" i="20"/>
  <c r="K26" i="20" s="1"/>
  <c r="E51" i="20"/>
  <c r="E58" i="20"/>
  <c r="E66" i="20"/>
  <c r="E74" i="20"/>
  <c r="E81" i="20"/>
  <c r="E91" i="20"/>
  <c r="E98" i="20"/>
  <c r="E106" i="20"/>
  <c r="E60" i="20"/>
  <c r="E6" i="20"/>
  <c r="K6" i="20" s="1"/>
  <c r="E62" i="20"/>
  <c r="E25" i="20"/>
  <c r="K25" i="20" s="1"/>
  <c r="E18" i="20"/>
  <c r="K18" i="20" s="1"/>
  <c r="E19" i="20"/>
  <c r="K19" i="20" s="1"/>
  <c r="E27" i="20"/>
  <c r="K27" i="20" s="1"/>
  <c r="E43" i="20"/>
  <c r="E52" i="20"/>
  <c r="E59" i="20"/>
  <c r="E67" i="20"/>
  <c r="E75" i="20"/>
  <c r="E82" i="20"/>
  <c r="E92" i="20"/>
  <c r="E99" i="20"/>
  <c r="H11" i="22"/>
  <c r="I10" i="22"/>
  <c r="G106" i="19"/>
  <c r="E24" i="21"/>
  <c r="G24" i="21" s="1"/>
  <c r="M24" i="21" s="1"/>
  <c r="E25" i="21"/>
  <c r="G25" i="21" s="1"/>
  <c r="M25" i="21" s="1"/>
  <c r="E41" i="21"/>
  <c r="G41" i="21" s="1"/>
  <c r="M41" i="21" s="1"/>
  <c r="E71" i="21"/>
  <c r="G71" i="21" s="1"/>
  <c r="M71" i="21" s="1"/>
  <c r="E12" i="21"/>
  <c r="G12" i="21" s="1"/>
  <c r="M12" i="21" s="1"/>
  <c r="E26" i="21"/>
  <c r="G26" i="21" s="1"/>
  <c r="M26" i="21" s="1"/>
  <c r="E34" i="21"/>
  <c r="G34" i="21" s="1"/>
  <c r="M34" i="21" s="1"/>
  <c r="E72" i="21"/>
  <c r="G72" i="21" s="1"/>
  <c r="M72" i="21" s="1"/>
  <c r="E80" i="21"/>
  <c r="G80" i="21" s="1"/>
  <c r="M80" i="21" s="1"/>
  <c r="E92" i="21"/>
  <c r="G92" i="21" s="1"/>
  <c r="M92" i="21" s="1"/>
  <c r="E5" i="21"/>
  <c r="G5" i="21" s="1"/>
  <c r="M5" i="21" s="1"/>
  <c r="E13" i="21"/>
  <c r="G13" i="21" s="1"/>
  <c r="M13" i="21" s="1"/>
  <c r="E27" i="21"/>
  <c r="G27" i="21" s="1"/>
  <c r="M27" i="21" s="1"/>
  <c r="G43" i="21"/>
  <c r="M43" i="21" s="1"/>
  <c r="G50" i="21"/>
  <c r="M50" i="21" s="1"/>
  <c r="G58" i="21"/>
  <c r="M58" i="21" s="1"/>
  <c r="E66" i="21"/>
  <c r="G66" i="21" s="1"/>
  <c r="M66" i="21" s="1"/>
  <c r="G73" i="21"/>
  <c r="M73" i="21" s="1"/>
  <c r="G87" i="21"/>
  <c r="M87" i="21" s="1"/>
  <c r="E93" i="21"/>
  <c r="G93" i="21" s="1"/>
  <c r="M93" i="21" s="1"/>
  <c r="E18" i="21"/>
  <c r="G18" i="21" s="1"/>
  <c r="M18" i="21" s="1"/>
  <c r="E6" i="21"/>
  <c r="G6" i="21" s="1"/>
  <c r="M6" i="21" s="1"/>
  <c r="E36" i="21"/>
  <c r="G36" i="21" s="1"/>
  <c r="M36" i="21" s="1"/>
  <c r="E44" i="21"/>
  <c r="G44" i="21" s="1"/>
  <c r="M44" i="21" s="1"/>
  <c r="G59" i="21"/>
  <c r="M59" i="21" s="1"/>
  <c r="G74" i="21"/>
  <c r="M74" i="21" s="1"/>
  <c r="E94" i="21"/>
  <c r="G94" i="21" s="1"/>
  <c r="M94" i="21" s="1"/>
  <c r="E7" i="21"/>
  <c r="G7" i="21" s="1"/>
  <c r="M7" i="21" s="1"/>
  <c r="E29" i="21"/>
  <c r="G29" i="21" s="1"/>
  <c r="M29" i="21" s="1"/>
  <c r="E45" i="21"/>
  <c r="G45" i="21" s="1"/>
  <c r="M45" i="21" s="1"/>
  <c r="G60" i="21"/>
  <c r="M60" i="21" s="1"/>
  <c r="G75" i="21"/>
  <c r="M75" i="21" s="1"/>
  <c r="G95" i="21"/>
  <c r="M95" i="21" s="1"/>
  <c r="E16" i="21"/>
  <c r="G16" i="21" s="1"/>
  <c r="M16" i="21" s="1"/>
  <c r="E22" i="21"/>
  <c r="G22" i="21" s="1"/>
  <c r="M22" i="21" s="1"/>
  <c r="E30" i="21"/>
  <c r="G30" i="21" s="1"/>
  <c r="M30" i="21" s="1"/>
  <c r="E76" i="21"/>
  <c r="G76" i="21" s="1"/>
  <c r="M76" i="21" s="1"/>
  <c r="E10" i="21"/>
  <c r="G10" i="21" s="1"/>
  <c r="M10" i="21" s="1"/>
  <c r="E40" i="21"/>
  <c r="G40" i="21" s="1"/>
  <c r="M40" i="21" s="1"/>
  <c r="E19" i="21"/>
  <c r="G19" i="21" s="1"/>
  <c r="M19" i="21" s="1"/>
  <c r="E79" i="21"/>
  <c r="G79" i="21" s="1"/>
  <c r="M79" i="21" s="1"/>
  <c r="E14" i="21"/>
  <c r="G14" i="21" s="1"/>
  <c r="M14" i="21" s="1"/>
  <c r="E28" i="21"/>
  <c r="G28" i="21" s="1"/>
  <c r="M28" i="21" s="1"/>
  <c r="G51" i="21"/>
  <c r="M51" i="21" s="1"/>
  <c r="G67" i="21"/>
  <c r="M67" i="21" s="1"/>
  <c r="G81" i="21"/>
  <c r="M81" i="21" s="1"/>
  <c r="E21" i="21"/>
  <c r="G21" i="21" s="1"/>
  <c r="M21" i="21" s="1"/>
  <c r="E37" i="21"/>
  <c r="G37" i="21" s="1"/>
  <c r="M37" i="21" s="1"/>
  <c r="G52" i="21"/>
  <c r="M52" i="21" s="1"/>
  <c r="E68" i="21"/>
  <c r="G68" i="21" s="1"/>
  <c r="M68" i="21" s="1"/>
  <c r="G82" i="21"/>
  <c r="M82" i="21" s="1"/>
  <c r="G88" i="21"/>
  <c r="M88" i="21" s="1"/>
  <c r="E8" i="21"/>
  <c r="G8" i="21" s="1"/>
  <c r="M8" i="21" s="1"/>
  <c r="E9" i="21"/>
  <c r="G9" i="21" s="1"/>
  <c r="M9" i="21" s="1"/>
  <c r="E17" i="21"/>
  <c r="G17" i="21" s="1"/>
  <c r="M17" i="21" s="1"/>
  <c r="E23" i="21"/>
  <c r="G23" i="21" s="1"/>
  <c r="M23" i="21" s="1"/>
  <c r="E31" i="21"/>
  <c r="G31" i="21" s="1"/>
  <c r="M31" i="21" s="1"/>
  <c r="E54" i="21"/>
  <c r="G54" i="21" s="1"/>
  <c r="M54" i="21" s="1"/>
  <c r="E90" i="21"/>
  <c r="G90" i="21" s="1"/>
  <c r="M90" i="21" s="1"/>
  <c r="E78" i="21"/>
  <c r="G78" i="21" s="1"/>
  <c r="M78" i="21" s="1"/>
  <c r="E11" i="21"/>
  <c r="G11" i="21" s="1"/>
  <c r="M11" i="21" s="1"/>
  <c r="G15" i="21"/>
  <c r="M15" i="21" s="1"/>
  <c r="G77" i="21"/>
  <c r="M77" i="21" s="1"/>
  <c r="G47" i="21"/>
  <c r="M47" i="21" s="1"/>
  <c r="G32" i="21"/>
  <c r="M32" i="21" s="1"/>
  <c r="G55" i="21"/>
  <c r="M55" i="21" s="1"/>
  <c r="G63" i="21"/>
  <c r="M63" i="21" s="1"/>
  <c r="G70" i="21"/>
  <c r="M70" i="21" s="1"/>
  <c r="G84" i="21"/>
  <c r="M84" i="21" s="1"/>
  <c r="G91" i="21"/>
  <c r="M91" i="21" s="1"/>
  <c r="G83" i="21"/>
  <c r="M83" i="21" s="1"/>
  <c r="G48" i="21"/>
  <c r="M48" i="21" s="1"/>
  <c r="G56" i="21"/>
  <c r="M56" i="21" s="1"/>
  <c r="G64" i="21"/>
  <c r="M64" i="21" s="1"/>
  <c r="G85" i="21"/>
  <c r="M85" i="21" s="1"/>
  <c r="G62" i="21"/>
  <c r="M62" i="21" s="1"/>
  <c r="G39" i="21"/>
  <c r="M39" i="21" s="1"/>
  <c r="G69" i="21"/>
  <c r="M69" i="21" s="1"/>
  <c r="F35" i="21"/>
  <c r="F96" i="21"/>
  <c r="F20" i="21"/>
  <c r="J9" i="13"/>
  <c r="H10" i="13"/>
  <c r="D41" i="20"/>
  <c r="C113" i="20"/>
  <c r="D20" i="21"/>
  <c r="C97" i="21"/>
  <c r="D96" i="21"/>
  <c r="D35" i="21"/>
  <c r="D112" i="20"/>
  <c r="E42" i="20"/>
  <c r="E5" i="20"/>
  <c r="K5" i="20" s="1"/>
  <c r="L61" i="15" l="1"/>
  <c r="M20" i="21"/>
  <c r="M35" i="21"/>
  <c r="M96" i="21"/>
  <c r="J58" i="39"/>
  <c r="I60" i="39"/>
  <c r="J57" i="39"/>
  <c r="I59" i="39"/>
  <c r="J76" i="38"/>
  <c r="J71" i="38"/>
  <c r="K20" i="20"/>
  <c r="K64" i="18"/>
  <c r="J57" i="17"/>
  <c r="J40" i="20"/>
  <c r="K40" i="20" s="1"/>
  <c r="J45" i="32"/>
  <c r="K45" i="32" s="1"/>
  <c r="K46" i="31"/>
  <c r="L46" i="31" s="1"/>
  <c r="J42" i="22"/>
  <c r="K42" i="22" s="1"/>
  <c r="J51" i="33"/>
  <c r="K51" i="33" s="1"/>
  <c r="D113" i="20"/>
  <c r="E112" i="20"/>
  <c r="I13" i="19"/>
  <c r="E20" i="21"/>
  <c r="G20" i="21" s="1"/>
  <c r="E35" i="21"/>
  <c r="G35" i="21" s="1"/>
  <c r="I68" i="40"/>
  <c r="J68" i="40" s="1"/>
  <c r="I67" i="40"/>
  <c r="J68" i="37"/>
  <c r="K67" i="37"/>
  <c r="N67" i="37"/>
  <c r="M76" i="37"/>
  <c r="M77" i="37"/>
  <c r="M75" i="37"/>
  <c r="I40" i="34"/>
  <c r="H42" i="34"/>
  <c r="H41" i="34"/>
  <c r="H31" i="33"/>
  <c r="I30" i="33"/>
  <c r="H69" i="32"/>
  <c r="H71" i="32" s="1"/>
  <c r="H78" i="32"/>
  <c r="H21" i="31"/>
  <c r="I20" i="31"/>
  <c r="E20" i="20"/>
  <c r="E41" i="20"/>
  <c r="H13" i="20"/>
  <c r="I12" i="20"/>
  <c r="H12" i="22"/>
  <c r="I11" i="22"/>
  <c r="E96" i="21"/>
  <c r="F97" i="21"/>
  <c r="G15" i="9" s="1"/>
  <c r="H97" i="21"/>
  <c r="J10" i="13"/>
  <c r="H11" i="13"/>
  <c r="D97" i="21"/>
  <c r="D105" i="19"/>
  <c r="F101" i="19"/>
  <c r="L101" i="19" s="1"/>
  <c r="D35" i="19"/>
  <c r="F29" i="19"/>
  <c r="L29" i="19" s="1"/>
  <c r="F28" i="19"/>
  <c r="L28" i="19" s="1"/>
  <c r="F19" i="19"/>
  <c r="L19" i="19" s="1"/>
  <c r="D17" i="19"/>
  <c r="F14" i="19"/>
  <c r="L14" i="19" s="1"/>
  <c r="F13" i="19"/>
  <c r="L13" i="19" s="1"/>
  <c r="F12" i="19"/>
  <c r="L12" i="19" s="1"/>
  <c r="F11" i="19"/>
  <c r="L11" i="19" s="1"/>
  <c r="F5" i="19"/>
  <c r="L5" i="19" s="1"/>
  <c r="E112" i="19"/>
  <c r="E104" i="19"/>
  <c r="F104" i="19" s="1"/>
  <c r="L104" i="19" s="1"/>
  <c r="E103" i="19"/>
  <c r="E102" i="19"/>
  <c r="E100" i="19"/>
  <c r="F100" i="19" s="1"/>
  <c r="L100" i="19" s="1"/>
  <c r="E99" i="19"/>
  <c r="F99" i="19" s="1"/>
  <c r="L99" i="19" s="1"/>
  <c r="E98" i="19"/>
  <c r="E97" i="19"/>
  <c r="E96" i="19"/>
  <c r="F96" i="19" s="1"/>
  <c r="L96" i="19" s="1"/>
  <c r="E95" i="19"/>
  <c r="F95" i="19" s="1"/>
  <c r="L95" i="19" s="1"/>
  <c r="E94" i="19"/>
  <c r="F94" i="19" s="1"/>
  <c r="L94" i="19" s="1"/>
  <c r="E93" i="19"/>
  <c r="F93" i="19" s="1"/>
  <c r="L93" i="19" s="1"/>
  <c r="E92" i="19"/>
  <c r="F92" i="19" s="1"/>
  <c r="L92" i="19" s="1"/>
  <c r="E91" i="19"/>
  <c r="F91" i="19" s="1"/>
  <c r="L91" i="19" s="1"/>
  <c r="E90" i="19"/>
  <c r="F90" i="19" s="1"/>
  <c r="L90" i="19" s="1"/>
  <c r="E89" i="19"/>
  <c r="F89" i="19" s="1"/>
  <c r="L89" i="19" s="1"/>
  <c r="E88" i="19"/>
  <c r="F88" i="19" s="1"/>
  <c r="L88" i="19" s="1"/>
  <c r="E87" i="19"/>
  <c r="F87" i="19" s="1"/>
  <c r="L87" i="19" s="1"/>
  <c r="E86" i="19"/>
  <c r="E85" i="19"/>
  <c r="E84" i="19"/>
  <c r="F84" i="19" s="1"/>
  <c r="L84" i="19" s="1"/>
  <c r="E83" i="19"/>
  <c r="F83" i="19" s="1"/>
  <c r="L83" i="19" s="1"/>
  <c r="E82" i="19"/>
  <c r="F82" i="19" s="1"/>
  <c r="L82" i="19" s="1"/>
  <c r="E81" i="19"/>
  <c r="E80" i="19"/>
  <c r="E79" i="19"/>
  <c r="F79" i="19" s="1"/>
  <c r="L79" i="19" s="1"/>
  <c r="E78" i="19"/>
  <c r="F78" i="19" s="1"/>
  <c r="L78" i="19" s="1"/>
  <c r="E77" i="19"/>
  <c r="E76" i="19"/>
  <c r="F76" i="19" s="1"/>
  <c r="L76" i="19" s="1"/>
  <c r="E75" i="19"/>
  <c r="F75" i="19" s="1"/>
  <c r="L75" i="19" s="1"/>
  <c r="E74" i="19"/>
  <c r="F74" i="19" s="1"/>
  <c r="L74" i="19" s="1"/>
  <c r="E73" i="19"/>
  <c r="F73" i="19" s="1"/>
  <c r="L73" i="19" s="1"/>
  <c r="E72" i="19"/>
  <c r="F72" i="19" s="1"/>
  <c r="L72" i="19" s="1"/>
  <c r="E71" i="19"/>
  <c r="E70" i="19"/>
  <c r="F70" i="19" s="1"/>
  <c r="L70" i="19" s="1"/>
  <c r="E69" i="19"/>
  <c r="E68" i="19"/>
  <c r="F68" i="19" s="1"/>
  <c r="L68" i="19" s="1"/>
  <c r="E67" i="19"/>
  <c r="F67" i="19" s="1"/>
  <c r="L67" i="19" s="1"/>
  <c r="E66" i="19"/>
  <c r="F66" i="19" s="1"/>
  <c r="L66" i="19" s="1"/>
  <c r="E65" i="19"/>
  <c r="F65" i="19" s="1"/>
  <c r="L65" i="19" s="1"/>
  <c r="E64" i="19"/>
  <c r="F64" i="19" s="1"/>
  <c r="L64" i="19" s="1"/>
  <c r="E63" i="19"/>
  <c r="F63" i="19" s="1"/>
  <c r="L63" i="19" s="1"/>
  <c r="E62" i="19"/>
  <c r="F62" i="19" s="1"/>
  <c r="L62" i="19" s="1"/>
  <c r="E61" i="19"/>
  <c r="F61" i="19" s="1"/>
  <c r="L61" i="19" s="1"/>
  <c r="E60" i="19"/>
  <c r="F60" i="19" s="1"/>
  <c r="L60" i="19" s="1"/>
  <c r="E59" i="19"/>
  <c r="F59" i="19" s="1"/>
  <c r="L59" i="19" s="1"/>
  <c r="E58" i="19"/>
  <c r="E57" i="19"/>
  <c r="F57" i="19" s="1"/>
  <c r="L57" i="19" s="1"/>
  <c r="E56" i="19"/>
  <c r="F56" i="19" s="1"/>
  <c r="L56" i="19" s="1"/>
  <c r="E55" i="19"/>
  <c r="E54" i="19"/>
  <c r="F54" i="19" s="1"/>
  <c r="L54" i="19" s="1"/>
  <c r="E53" i="19"/>
  <c r="F53" i="19" s="1"/>
  <c r="L53" i="19" s="1"/>
  <c r="E52" i="19"/>
  <c r="E51" i="19"/>
  <c r="F51" i="19" s="1"/>
  <c r="L51" i="19" s="1"/>
  <c r="E50" i="19"/>
  <c r="F50" i="19" s="1"/>
  <c r="L50" i="19" s="1"/>
  <c r="E49" i="19"/>
  <c r="F49" i="19" s="1"/>
  <c r="L49" i="19" s="1"/>
  <c r="E48" i="19"/>
  <c r="F48" i="19" s="1"/>
  <c r="L48" i="19" s="1"/>
  <c r="E47" i="19"/>
  <c r="F47" i="19" s="1"/>
  <c r="L47" i="19" s="1"/>
  <c r="E46" i="19"/>
  <c r="E45" i="19"/>
  <c r="E44" i="19"/>
  <c r="F44" i="19" s="1"/>
  <c r="L44" i="19" s="1"/>
  <c r="E43" i="19"/>
  <c r="F43" i="19" s="1"/>
  <c r="L43" i="19" s="1"/>
  <c r="E42" i="19"/>
  <c r="E41" i="19"/>
  <c r="F41" i="19" s="1"/>
  <c r="L41" i="19" s="1"/>
  <c r="E40" i="19"/>
  <c r="F40" i="19" s="1"/>
  <c r="L40" i="19" s="1"/>
  <c r="E39" i="19"/>
  <c r="F39" i="19" s="1"/>
  <c r="L39" i="19" s="1"/>
  <c r="E38" i="19"/>
  <c r="F38" i="19" s="1"/>
  <c r="L38" i="19" s="1"/>
  <c r="E37" i="19"/>
  <c r="F37" i="19" s="1"/>
  <c r="L37" i="19" s="1"/>
  <c r="E36" i="19"/>
  <c r="E34" i="19"/>
  <c r="E33" i="19"/>
  <c r="E32" i="19"/>
  <c r="E31" i="19"/>
  <c r="E30" i="19"/>
  <c r="E27" i="19"/>
  <c r="F27" i="19" s="1"/>
  <c r="L27" i="19" s="1"/>
  <c r="E26" i="19"/>
  <c r="E23" i="19"/>
  <c r="E22" i="19"/>
  <c r="E21" i="19"/>
  <c r="F21" i="19" s="1"/>
  <c r="L21" i="19" s="1"/>
  <c r="E20" i="19"/>
  <c r="F20" i="19" s="1"/>
  <c r="L20" i="19" s="1"/>
  <c r="E18" i="19"/>
  <c r="E16" i="19"/>
  <c r="E15" i="19"/>
  <c r="E10" i="19"/>
  <c r="E9" i="19"/>
  <c r="E7" i="19"/>
  <c r="E6" i="19"/>
  <c r="M97" i="21" l="1"/>
  <c r="E97" i="21"/>
  <c r="G14" i="9" s="1"/>
  <c r="L62" i="15"/>
  <c r="I69" i="40"/>
  <c r="J69" i="40" s="1"/>
  <c r="J67" i="40"/>
  <c r="J59" i="39"/>
  <c r="I61" i="39"/>
  <c r="J60" i="39"/>
  <c r="I62" i="39"/>
  <c r="J73" i="38"/>
  <c r="J80" i="38"/>
  <c r="K65" i="18"/>
  <c r="J58" i="17"/>
  <c r="G96" i="21"/>
  <c r="K47" i="31"/>
  <c r="J43" i="22"/>
  <c r="K43" i="22" s="1"/>
  <c r="J46" i="32"/>
  <c r="K46" i="32" s="1"/>
  <c r="J52" i="33"/>
  <c r="K52" i="33" s="1"/>
  <c r="J42" i="20"/>
  <c r="K42" i="20" s="1"/>
  <c r="K41" i="20"/>
  <c r="E113" i="20"/>
  <c r="G33" i="9" s="1"/>
  <c r="F34" i="19"/>
  <c r="L34" i="19" s="1"/>
  <c r="F58" i="19"/>
  <c r="L58" i="19" s="1"/>
  <c r="F97" i="19"/>
  <c r="L97" i="19" s="1"/>
  <c r="I14" i="19"/>
  <c r="F69" i="19"/>
  <c r="L69" i="19" s="1"/>
  <c r="F98" i="19"/>
  <c r="L98" i="19" s="1"/>
  <c r="F8" i="19"/>
  <c r="L8" i="19" s="1"/>
  <c r="F24" i="19"/>
  <c r="L24" i="19" s="1"/>
  <c r="F52" i="19"/>
  <c r="L52" i="19" s="1"/>
  <c r="F30" i="19"/>
  <c r="L30" i="19" s="1"/>
  <c r="F77" i="19"/>
  <c r="L77" i="19" s="1"/>
  <c r="F85" i="19"/>
  <c r="L85" i="19" s="1"/>
  <c r="F15" i="19"/>
  <c r="L15" i="19" s="1"/>
  <c r="F46" i="19"/>
  <c r="L46" i="19" s="1"/>
  <c r="F18" i="19"/>
  <c r="L18" i="19" s="1"/>
  <c r="F31" i="19"/>
  <c r="L31" i="19" s="1"/>
  <c r="F71" i="19"/>
  <c r="L71" i="19" s="1"/>
  <c r="F86" i="19"/>
  <c r="L86" i="19" s="1"/>
  <c r="F45" i="19"/>
  <c r="L45" i="19" s="1"/>
  <c r="F32" i="19"/>
  <c r="L32" i="19" s="1"/>
  <c r="F16" i="19"/>
  <c r="L16" i="19" s="1"/>
  <c r="F7" i="19"/>
  <c r="L7" i="19" s="1"/>
  <c r="F33" i="19"/>
  <c r="L33" i="19" s="1"/>
  <c r="F42" i="19"/>
  <c r="L42" i="19" s="1"/>
  <c r="F80" i="19"/>
  <c r="L80" i="19" s="1"/>
  <c r="F102" i="19"/>
  <c r="L102" i="19" s="1"/>
  <c r="F22" i="19"/>
  <c r="L22" i="19" s="1"/>
  <c r="F81" i="19"/>
  <c r="L81" i="19" s="1"/>
  <c r="F103" i="19"/>
  <c r="L103" i="19" s="1"/>
  <c r="F10" i="19"/>
  <c r="L10" i="19" s="1"/>
  <c r="F23" i="19"/>
  <c r="L23" i="19" s="1"/>
  <c r="F36" i="19"/>
  <c r="L36" i="19" s="1"/>
  <c r="I70" i="40"/>
  <c r="J69" i="37"/>
  <c r="K68" i="37"/>
  <c r="N68" i="37"/>
  <c r="M80" i="37"/>
  <c r="M79" i="37"/>
  <c r="M78" i="37"/>
  <c r="I42" i="34"/>
  <c r="H44" i="34"/>
  <c r="H43" i="34"/>
  <c r="H32" i="33"/>
  <c r="I31" i="33"/>
  <c r="H80" i="32"/>
  <c r="H82" i="32" s="1"/>
  <c r="H84" i="32" s="1"/>
  <c r="H73" i="32"/>
  <c r="H22" i="31"/>
  <c r="H14" i="20"/>
  <c r="H15" i="20" s="1"/>
  <c r="H16" i="20" s="1"/>
  <c r="H17" i="20" s="1"/>
  <c r="H18" i="20" s="1"/>
  <c r="I13" i="20"/>
  <c r="H13" i="22"/>
  <c r="I12" i="22"/>
  <c r="E17" i="19"/>
  <c r="D106" i="19"/>
  <c r="E35" i="19"/>
  <c r="H12" i="13"/>
  <c r="J11" i="13"/>
  <c r="H13" i="13"/>
  <c r="E105" i="19"/>
  <c r="F6" i="19"/>
  <c r="L6" i="19" s="1"/>
  <c r="D106" i="18"/>
  <c r="D36" i="18"/>
  <c r="D17" i="18"/>
  <c r="F13" i="18"/>
  <c r="L13" i="18" s="1"/>
  <c r="F11" i="18"/>
  <c r="L11" i="18" s="1"/>
  <c r="E105" i="18"/>
  <c r="E104" i="18"/>
  <c r="E103" i="18"/>
  <c r="E102" i="18"/>
  <c r="E101" i="18"/>
  <c r="E100" i="18"/>
  <c r="E99" i="18"/>
  <c r="E98" i="18"/>
  <c r="E97" i="18"/>
  <c r="E96" i="18"/>
  <c r="E95" i="18"/>
  <c r="E94" i="18"/>
  <c r="E93" i="18"/>
  <c r="E92" i="18"/>
  <c r="E91" i="18"/>
  <c r="E90" i="18"/>
  <c r="E89" i="18"/>
  <c r="E88" i="18"/>
  <c r="E87" i="18"/>
  <c r="E86" i="18"/>
  <c r="E85" i="18"/>
  <c r="E84" i="18"/>
  <c r="E83" i="18"/>
  <c r="E82" i="18"/>
  <c r="E81" i="18"/>
  <c r="E80" i="18"/>
  <c r="E79" i="18"/>
  <c r="E77" i="18"/>
  <c r="E76" i="18"/>
  <c r="E75" i="18"/>
  <c r="E74" i="18"/>
  <c r="E73" i="18"/>
  <c r="E72" i="18"/>
  <c r="E71" i="18"/>
  <c r="E70" i="18"/>
  <c r="E69" i="18"/>
  <c r="E68" i="18"/>
  <c r="E67" i="18"/>
  <c r="E66" i="18"/>
  <c r="E65" i="18"/>
  <c r="E64" i="18"/>
  <c r="E63" i="18"/>
  <c r="E62" i="18"/>
  <c r="E61" i="18"/>
  <c r="E60" i="18"/>
  <c r="E59" i="18"/>
  <c r="E58" i="18"/>
  <c r="E57" i="18"/>
  <c r="E56" i="18"/>
  <c r="E55" i="18"/>
  <c r="E54" i="18"/>
  <c r="E53" i="18"/>
  <c r="E52" i="18"/>
  <c r="E51" i="18"/>
  <c r="E50" i="18"/>
  <c r="E49" i="18"/>
  <c r="E48" i="18"/>
  <c r="E47" i="18"/>
  <c r="E46" i="18"/>
  <c r="E45" i="18"/>
  <c r="E44" i="18"/>
  <c r="E43" i="18"/>
  <c r="E42" i="18"/>
  <c r="E41" i="18"/>
  <c r="E40" i="18"/>
  <c r="E39" i="18"/>
  <c r="F39" i="18" s="1"/>
  <c r="L39" i="18" s="1"/>
  <c r="E38" i="18"/>
  <c r="E37" i="18"/>
  <c r="E35" i="18"/>
  <c r="E34" i="18"/>
  <c r="E33" i="18"/>
  <c r="E31" i="18"/>
  <c r="E30" i="18"/>
  <c r="E29" i="18"/>
  <c r="E28" i="18"/>
  <c r="E27" i="18"/>
  <c r="E26" i="18"/>
  <c r="E23" i="18"/>
  <c r="E22" i="18"/>
  <c r="E21" i="18"/>
  <c r="E20" i="18"/>
  <c r="E19" i="18"/>
  <c r="E18" i="18"/>
  <c r="E16" i="18"/>
  <c r="E15" i="18"/>
  <c r="E14" i="18"/>
  <c r="E12" i="18"/>
  <c r="E10" i="18"/>
  <c r="E9" i="18"/>
  <c r="E7" i="18"/>
  <c r="E6" i="18"/>
  <c r="E5" i="18"/>
  <c r="L47" i="31" l="1"/>
  <c r="K48" i="31"/>
  <c r="G97" i="21"/>
  <c r="L17" i="19"/>
  <c r="L63" i="15"/>
  <c r="I71" i="40"/>
  <c r="I73" i="40" s="1"/>
  <c r="J73" i="40" s="1"/>
  <c r="J62" i="39"/>
  <c r="I64" i="39"/>
  <c r="J61" i="39"/>
  <c r="I63" i="39"/>
  <c r="J82" i="38"/>
  <c r="J75" i="38"/>
  <c r="L35" i="19"/>
  <c r="L105" i="19"/>
  <c r="K66" i="18"/>
  <c r="J59" i="17"/>
  <c r="J53" i="33"/>
  <c r="K53" i="33" s="1"/>
  <c r="J47" i="32"/>
  <c r="J44" i="22"/>
  <c r="K44" i="22" s="1"/>
  <c r="J43" i="20"/>
  <c r="K43" i="20" s="1"/>
  <c r="E106" i="19"/>
  <c r="I15" i="19"/>
  <c r="F105" i="19"/>
  <c r="F35" i="19"/>
  <c r="F17" i="19"/>
  <c r="F16" i="18"/>
  <c r="L16" i="18" s="1"/>
  <c r="F19" i="18"/>
  <c r="L19" i="18" s="1"/>
  <c r="F14" i="18"/>
  <c r="L14" i="18" s="1"/>
  <c r="F20" i="18"/>
  <c r="L20" i="18" s="1"/>
  <c r="F30" i="18"/>
  <c r="L30" i="18" s="1"/>
  <c r="F40" i="18"/>
  <c r="L40" i="18" s="1"/>
  <c r="F48" i="18"/>
  <c r="L48" i="18" s="1"/>
  <c r="F54" i="18"/>
  <c r="L54" i="18" s="1"/>
  <c r="F62" i="18"/>
  <c r="L62" i="18" s="1"/>
  <c r="F70" i="18"/>
  <c r="F77" i="18"/>
  <c r="F86" i="18"/>
  <c r="F93" i="18"/>
  <c r="F100" i="18"/>
  <c r="F61" i="18"/>
  <c r="L61" i="18" s="1"/>
  <c r="F15" i="18"/>
  <c r="L15" i="18" s="1"/>
  <c r="F21" i="18"/>
  <c r="L21" i="18" s="1"/>
  <c r="F31" i="18"/>
  <c r="L31" i="18" s="1"/>
  <c r="F41" i="18"/>
  <c r="L41" i="18" s="1"/>
  <c r="F49" i="18"/>
  <c r="L49" i="18" s="1"/>
  <c r="F55" i="18"/>
  <c r="L55" i="18" s="1"/>
  <c r="F63" i="18"/>
  <c r="L63" i="18" s="1"/>
  <c r="F71" i="18"/>
  <c r="F78" i="18"/>
  <c r="F87" i="18"/>
  <c r="F94" i="18"/>
  <c r="F101" i="18"/>
  <c r="F85" i="18"/>
  <c r="F5" i="18"/>
  <c r="L5" i="18" s="1"/>
  <c r="F6" i="18"/>
  <c r="L6" i="18" s="1"/>
  <c r="F22" i="18"/>
  <c r="L22" i="18" s="1"/>
  <c r="F32" i="18"/>
  <c r="L32" i="18" s="1"/>
  <c r="F42" i="18"/>
  <c r="L42" i="18" s="1"/>
  <c r="F64" i="18"/>
  <c r="L64" i="18" s="1"/>
  <c r="F72" i="18"/>
  <c r="F80" i="18"/>
  <c r="F88" i="18"/>
  <c r="F95" i="18"/>
  <c r="F53" i="18"/>
  <c r="L53" i="18" s="1"/>
  <c r="F99" i="18"/>
  <c r="F7" i="18"/>
  <c r="L7" i="18" s="1"/>
  <c r="F23" i="18"/>
  <c r="L23" i="18" s="1"/>
  <c r="F34" i="18"/>
  <c r="L34" i="18" s="1"/>
  <c r="F43" i="18"/>
  <c r="L43" i="18" s="1"/>
  <c r="F57" i="18"/>
  <c r="L57" i="18" s="1"/>
  <c r="F65" i="18"/>
  <c r="L65" i="18" s="1"/>
  <c r="F73" i="18"/>
  <c r="F81" i="18"/>
  <c r="F89" i="18"/>
  <c r="F96" i="18"/>
  <c r="F102" i="18"/>
  <c r="F12" i="18"/>
  <c r="L12" i="18" s="1"/>
  <c r="F76" i="18"/>
  <c r="F8" i="18"/>
  <c r="L8" i="18" s="1"/>
  <c r="F24" i="18"/>
  <c r="L24" i="18" s="1"/>
  <c r="F35" i="18"/>
  <c r="L35" i="18" s="1"/>
  <c r="F44" i="18"/>
  <c r="L44" i="18" s="1"/>
  <c r="F50" i="18"/>
  <c r="L50" i="18" s="1"/>
  <c r="F58" i="18"/>
  <c r="L58" i="18" s="1"/>
  <c r="F66" i="18"/>
  <c r="F74" i="18"/>
  <c r="F82" i="18"/>
  <c r="F90" i="18"/>
  <c r="F103" i="18"/>
  <c r="F47" i="18"/>
  <c r="L47" i="18" s="1"/>
  <c r="F92" i="18"/>
  <c r="F37" i="18"/>
  <c r="L37" i="18" s="1"/>
  <c r="F45" i="18"/>
  <c r="L45" i="18" s="1"/>
  <c r="F51" i="18"/>
  <c r="L51" i="18" s="1"/>
  <c r="F59" i="18"/>
  <c r="L59" i="18" s="1"/>
  <c r="F67" i="18"/>
  <c r="F83" i="18"/>
  <c r="F97" i="18"/>
  <c r="F104" i="18"/>
  <c r="F29" i="18"/>
  <c r="L29" i="18" s="1"/>
  <c r="F69" i="18"/>
  <c r="F27" i="18"/>
  <c r="L27" i="18" s="1"/>
  <c r="F10" i="18"/>
  <c r="L10" i="18" s="1"/>
  <c r="F18" i="18"/>
  <c r="L18" i="18" s="1"/>
  <c r="F28" i="18"/>
  <c r="L28" i="18" s="1"/>
  <c r="F38" i="18"/>
  <c r="L38" i="18" s="1"/>
  <c r="F46" i="18"/>
  <c r="L46" i="18" s="1"/>
  <c r="F52" i="18"/>
  <c r="L52" i="18" s="1"/>
  <c r="F60" i="18"/>
  <c r="L60" i="18" s="1"/>
  <c r="F68" i="18"/>
  <c r="F75" i="18"/>
  <c r="F84" i="18"/>
  <c r="F91" i="18"/>
  <c r="F98" i="18"/>
  <c r="F105" i="18"/>
  <c r="I72" i="40"/>
  <c r="J70" i="37"/>
  <c r="K69" i="37"/>
  <c r="N69" i="37"/>
  <c r="M81" i="37"/>
  <c r="M82" i="37"/>
  <c r="M83" i="37"/>
  <c r="I43" i="34"/>
  <c r="H45" i="34"/>
  <c r="I44" i="34"/>
  <c r="H46" i="34"/>
  <c r="H34" i="33"/>
  <c r="I34" i="33" s="1"/>
  <c r="I32" i="33"/>
  <c r="H75" i="32"/>
  <c r="H77" i="32" s="1"/>
  <c r="H79" i="32" s="1"/>
  <c r="H86" i="32"/>
  <c r="H23" i="31"/>
  <c r="H19" i="20"/>
  <c r="I18" i="20"/>
  <c r="H14" i="22"/>
  <c r="I13" i="22"/>
  <c r="D107" i="18"/>
  <c r="E17" i="18"/>
  <c r="J13" i="13"/>
  <c r="H15" i="13"/>
  <c r="H14" i="13"/>
  <c r="J12" i="13"/>
  <c r="E36" i="18"/>
  <c r="E106" i="18"/>
  <c r="C109" i="17"/>
  <c r="C39" i="17"/>
  <c r="F39" i="17" s="1"/>
  <c r="C19" i="17"/>
  <c r="F19" i="17" s="1"/>
  <c r="E105" i="17"/>
  <c r="K47" i="32" l="1"/>
  <c r="J48" i="32"/>
  <c r="L17" i="18"/>
  <c r="L36" i="18"/>
  <c r="L106" i="19"/>
  <c r="L64" i="15"/>
  <c r="J63" i="39"/>
  <c r="I65" i="39"/>
  <c r="I67" i="39" s="1"/>
  <c r="J67" i="39" s="1"/>
  <c r="J64" i="39"/>
  <c r="I66" i="39"/>
  <c r="J77" i="38"/>
  <c r="J84" i="38"/>
  <c r="F106" i="19"/>
  <c r="G30" i="9" s="1"/>
  <c r="K67" i="18"/>
  <c r="L66" i="18"/>
  <c r="J60" i="17"/>
  <c r="K59" i="17"/>
  <c r="J54" i="33"/>
  <c r="K54" i="33" s="1"/>
  <c r="J44" i="20"/>
  <c r="K44" i="20" s="1"/>
  <c r="J45" i="22"/>
  <c r="K45" i="22" s="1"/>
  <c r="L48" i="31"/>
  <c r="I16" i="19"/>
  <c r="J15" i="19"/>
  <c r="F17" i="18"/>
  <c r="F106" i="18"/>
  <c r="F36" i="18"/>
  <c r="I75" i="40"/>
  <c r="J75" i="40" s="1"/>
  <c r="I74" i="40"/>
  <c r="J74" i="40" s="1"/>
  <c r="J71" i="37"/>
  <c r="K70" i="37"/>
  <c r="N70" i="37"/>
  <c r="M86" i="37"/>
  <c r="M85" i="37"/>
  <c r="M84" i="37"/>
  <c r="H47" i="34"/>
  <c r="I46" i="34"/>
  <c r="H36" i="33"/>
  <c r="H35" i="33"/>
  <c r="H88" i="32"/>
  <c r="I79" i="32"/>
  <c r="H81" i="32"/>
  <c r="H24" i="31"/>
  <c r="I19" i="20"/>
  <c r="H15" i="22"/>
  <c r="I14" i="22"/>
  <c r="C110" i="17"/>
  <c r="F110" i="17" s="1"/>
  <c r="F109" i="17"/>
  <c r="H16" i="13"/>
  <c r="J14" i="13"/>
  <c r="J15" i="13"/>
  <c r="H17" i="13"/>
  <c r="E107" i="18"/>
  <c r="E16" i="14"/>
  <c r="I69" i="39" l="1"/>
  <c r="J69" i="39" s="1"/>
  <c r="L65" i="15"/>
  <c r="J66" i="39"/>
  <c r="I68" i="39"/>
  <c r="J86" i="38"/>
  <c r="J79" i="38"/>
  <c r="K68" i="18"/>
  <c r="L67" i="18"/>
  <c r="J61" i="17"/>
  <c r="K48" i="32"/>
  <c r="J46" i="22"/>
  <c r="K46" i="22" s="1"/>
  <c r="J55" i="33"/>
  <c r="K55" i="33" s="1"/>
  <c r="J45" i="20"/>
  <c r="K45" i="20" s="1"/>
  <c r="K49" i="31"/>
  <c r="L49" i="31" s="1"/>
  <c r="H38" i="33"/>
  <c r="I38" i="33" s="1"/>
  <c r="I36" i="33"/>
  <c r="H37" i="33"/>
  <c r="I35" i="33"/>
  <c r="J16" i="19"/>
  <c r="F107" i="18"/>
  <c r="G27" i="9" s="1"/>
  <c r="I76" i="40"/>
  <c r="J76" i="40" s="1"/>
  <c r="I77" i="40"/>
  <c r="J77" i="40" s="1"/>
  <c r="I71" i="39"/>
  <c r="J71" i="39" s="1"/>
  <c r="J72" i="37"/>
  <c r="K71" i="37"/>
  <c r="N71" i="37"/>
  <c r="M88" i="37"/>
  <c r="M87" i="37"/>
  <c r="M89" i="37"/>
  <c r="H49" i="34"/>
  <c r="I47" i="34"/>
  <c r="H48" i="34"/>
  <c r="H83" i="32"/>
  <c r="I81" i="32"/>
  <c r="H90" i="32"/>
  <c r="I88" i="32"/>
  <c r="H25" i="31"/>
  <c r="H16" i="22"/>
  <c r="H17" i="22" s="1"/>
  <c r="H18" i="22" s="1"/>
  <c r="H19" i="22" s="1"/>
  <c r="H20" i="22" s="1"/>
  <c r="I15" i="22"/>
  <c r="H19" i="13"/>
  <c r="J17" i="13"/>
  <c r="H18" i="13"/>
  <c r="J16" i="13"/>
  <c r="E15" i="17"/>
  <c r="K15" i="17" s="1"/>
  <c r="E13" i="17"/>
  <c r="K13" i="17" s="1"/>
  <c r="D108" i="17"/>
  <c r="E108" i="17" s="1"/>
  <c r="D107" i="17"/>
  <c r="E107" i="17" s="1"/>
  <c r="D106" i="17"/>
  <c r="E106" i="17" s="1"/>
  <c r="D104" i="17"/>
  <c r="E104" i="17" s="1"/>
  <c r="D103" i="17"/>
  <c r="E103" i="17" s="1"/>
  <c r="D102" i="17"/>
  <c r="D101" i="17"/>
  <c r="E101" i="17" s="1"/>
  <c r="D100" i="17"/>
  <c r="E100" i="17" s="1"/>
  <c r="D99" i="17"/>
  <c r="E99" i="17" s="1"/>
  <c r="D98" i="17"/>
  <c r="E98" i="17" s="1"/>
  <c r="D97" i="17"/>
  <c r="E97" i="17" s="1"/>
  <c r="D96" i="17"/>
  <c r="E96" i="17" s="1"/>
  <c r="D95" i="17"/>
  <c r="E95" i="17" s="1"/>
  <c r="D94" i="17"/>
  <c r="E94" i="17" s="1"/>
  <c r="D93" i="17"/>
  <c r="E93" i="17" s="1"/>
  <c r="D92" i="17"/>
  <c r="E92" i="17" s="1"/>
  <c r="E91" i="17"/>
  <c r="D89" i="17"/>
  <c r="E89" i="17" s="1"/>
  <c r="D88" i="17"/>
  <c r="E88" i="17" s="1"/>
  <c r="D87" i="17"/>
  <c r="E87" i="17" s="1"/>
  <c r="D86" i="17"/>
  <c r="E86" i="17" s="1"/>
  <c r="D85" i="17"/>
  <c r="E85" i="17" s="1"/>
  <c r="D84" i="17"/>
  <c r="E84" i="17" s="1"/>
  <c r="D83" i="17"/>
  <c r="E83" i="17" s="1"/>
  <c r="D82" i="17"/>
  <c r="E82" i="17" s="1"/>
  <c r="D81" i="17"/>
  <c r="D79" i="17"/>
  <c r="E79" i="17" s="1"/>
  <c r="D78" i="17"/>
  <c r="E78" i="17" s="1"/>
  <c r="D77" i="17"/>
  <c r="E77" i="17" s="1"/>
  <c r="D76" i="17"/>
  <c r="E76" i="17" s="1"/>
  <c r="D75" i="17"/>
  <c r="E75" i="17" s="1"/>
  <c r="D74" i="17"/>
  <c r="E74" i="17" s="1"/>
  <c r="D73" i="17"/>
  <c r="D72" i="17"/>
  <c r="E72" i="17" s="1"/>
  <c r="D71" i="17"/>
  <c r="E71" i="17" s="1"/>
  <c r="D70" i="17"/>
  <c r="E70" i="17" s="1"/>
  <c r="D69" i="17"/>
  <c r="E69" i="17" s="1"/>
  <c r="D68" i="17"/>
  <c r="E68" i="17" s="1"/>
  <c r="D67" i="17"/>
  <c r="E67" i="17" s="1"/>
  <c r="D66" i="17"/>
  <c r="E66" i="17" s="1"/>
  <c r="D65" i="17"/>
  <c r="E65" i="17" s="1"/>
  <c r="D64" i="17"/>
  <c r="E64" i="17" s="1"/>
  <c r="D63" i="17"/>
  <c r="E63" i="17" s="1"/>
  <c r="D62" i="17"/>
  <c r="E62" i="17" s="1"/>
  <c r="D61" i="17"/>
  <c r="E61" i="17" s="1"/>
  <c r="D60" i="17"/>
  <c r="E60" i="17" s="1"/>
  <c r="K60" i="17" s="1"/>
  <c r="D59" i="17"/>
  <c r="D58" i="17"/>
  <c r="E58" i="17" s="1"/>
  <c r="K58" i="17" s="1"/>
  <c r="D57" i="17"/>
  <c r="E57" i="17" s="1"/>
  <c r="K57" i="17" s="1"/>
  <c r="D56" i="17"/>
  <c r="E56" i="17" s="1"/>
  <c r="K56" i="17" s="1"/>
  <c r="D55" i="17"/>
  <c r="E55" i="17" s="1"/>
  <c r="K55" i="17" s="1"/>
  <c r="D54" i="17"/>
  <c r="E54" i="17" s="1"/>
  <c r="K54" i="17" s="1"/>
  <c r="D53" i="17"/>
  <c r="E53" i="17" s="1"/>
  <c r="K53" i="17" s="1"/>
  <c r="D52" i="17"/>
  <c r="E52" i="17" s="1"/>
  <c r="K52" i="17" s="1"/>
  <c r="D51" i="17"/>
  <c r="E51" i="17" s="1"/>
  <c r="K51" i="17" s="1"/>
  <c r="D50" i="17"/>
  <c r="E50" i="17" s="1"/>
  <c r="K50" i="17" s="1"/>
  <c r="D49" i="17"/>
  <c r="E49" i="17" s="1"/>
  <c r="K49" i="17" s="1"/>
  <c r="D48" i="17"/>
  <c r="E48" i="17" s="1"/>
  <c r="K48" i="17" s="1"/>
  <c r="D47" i="17"/>
  <c r="E47" i="17" s="1"/>
  <c r="K47" i="17" s="1"/>
  <c r="D46" i="17"/>
  <c r="D45" i="17"/>
  <c r="E45" i="17" s="1"/>
  <c r="K45" i="17" s="1"/>
  <c r="D44" i="17"/>
  <c r="E44" i="17" s="1"/>
  <c r="K44" i="17" s="1"/>
  <c r="D43" i="17"/>
  <c r="E43" i="17" s="1"/>
  <c r="K43" i="17" s="1"/>
  <c r="D42" i="17"/>
  <c r="E42" i="17" s="1"/>
  <c r="K42" i="17" s="1"/>
  <c r="D41" i="17"/>
  <c r="E41" i="17" s="1"/>
  <c r="K41" i="17" s="1"/>
  <c r="D40" i="17"/>
  <c r="D38" i="17"/>
  <c r="E38" i="17" s="1"/>
  <c r="K38" i="17" s="1"/>
  <c r="D37" i="17"/>
  <c r="E37" i="17" s="1"/>
  <c r="K37" i="17" s="1"/>
  <c r="D36" i="17"/>
  <c r="D34" i="17"/>
  <c r="D33" i="17"/>
  <c r="E33" i="17" s="1"/>
  <c r="K33" i="17" s="1"/>
  <c r="D32" i="17"/>
  <c r="D30" i="17"/>
  <c r="D28" i="17"/>
  <c r="E28" i="17" s="1"/>
  <c r="K28" i="17" s="1"/>
  <c r="D27" i="17"/>
  <c r="D25" i="17"/>
  <c r="D24" i="17"/>
  <c r="D23" i="17"/>
  <c r="E23" i="17" s="1"/>
  <c r="K23" i="17" s="1"/>
  <c r="D22" i="17"/>
  <c r="E22" i="17" s="1"/>
  <c r="K22" i="17" s="1"/>
  <c r="D21" i="17"/>
  <c r="D20" i="17"/>
  <c r="D18" i="17"/>
  <c r="D17" i="17"/>
  <c r="D16" i="17"/>
  <c r="D14" i="17"/>
  <c r="D12" i="17"/>
  <c r="D10" i="17"/>
  <c r="D8" i="17"/>
  <c r="D7" i="17"/>
  <c r="D5" i="17"/>
  <c r="H40" i="33" l="1"/>
  <c r="I40" i="33" s="1"/>
  <c r="L66" i="15"/>
  <c r="J68" i="39"/>
  <c r="I70" i="39"/>
  <c r="J81" i="38"/>
  <c r="J88" i="38"/>
  <c r="K69" i="18"/>
  <c r="L68" i="18"/>
  <c r="J62" i="17"/>
  <c r="K61" i="17"/>
  <c r="J56" i="33"/>
  <c r="K56" i="33" s="1"/>
  <c r="J46" i="20"/>
  <c r="K46" i="20" s="1"/>
  <c r="J47" i="22"/>
  <c r="K47" i="22" s="1"/>
  <c r="K50" i="31"/>
  <c r="L50" i="31" s="1"/>
  <c r="J49" i="32"/>
  <c r="K49" i="32" s="1"/>
  <c r="H39" i="33"/>
  <c r="I37" i="33"/>
  <c r="E9" i="17"/>
  <c r="K9" i="17" s="1"/>
  <c r="E21" i="17"/>
  <c r="K21" i="17" s="1"/>
  <c r="E31" i="17"/>
  <c r="K31" i="17" s="1"/>
  <c r="E73" i="17"/>
  <c r="E80" i="17"/>
  <c r="E14" i="17"/>
  <c r="K14" i="17" s="1"/>
  <c r="E34" i="17"/>
  <c r="K34" i="17" s="1"/>
  <c r="E29" i="17"/>
  <c r="K29" i="17" s="1"/>
  <c r="E11" i="17"/>
  <c r="K11" i="17" s="1"/>
  <c r="E16" i="17"/>
  <c r="K16" i="17" s="1"/>
  <c r="E24" i="17"/>
  <c r="K24" i="17" s="1"/>
  <c r="E35" i="17"/>
  <c r="K35" i="17" s="1"/>
  <c r="E20" i="17"/>
  <c r="K20" i="17" s="1"/>
  <c r="E46" i="17"/>
  <c r="K46" i="17" s="1"/>
  <c r="E8" i="17"/>
  <c r="K8" i="17" s="1"/>
  <c r="E25" i="17"/>
  <c r="K25" i="17" s="1"/>
  <c r="E18" i="17"/>
  <c r="K18" i="17" s="1"/>
  <c r="E26" i="17"/>
  <c r="K26" i="17" s="1"/>
  <c r="E17" i="17"/>
  <c r="K17" i="17" s="1"/>
  <c r="E5" i="17"/>
  <c r="K5" i="17" s="1"/>
  <c r="E6" i="17"/>
  <c r="K6" i="17" s="1"/>
  <c r="E102" i="17"/>
  <c r="E109" i="17" s="1"/>
  <c r="I79" i="40"/>
  <c r="J79" i="40" s="1"/>
  <c r="I78" i="40"/>
  <c r="I73" i="39"/>
  <c r="J73" i="39" s="1"/>
  <c r="J73" i="37"/>
  <c r="K72" i="37"/>
  <c r="N72" i="37"/>
  <c r="M92" i="37"/>
  <c r="M90" i="37"/>
  <c r="M91" i="37"/>
  <c r="I48" i="34"/>
  <c r="H50" i="34"/>
  <c r="I49" i="34"/>
  <c r="H51" i="34"/>
  <c r="H42" i="33"/>
  <c r="H85" i="32"/>
  <c r="H87" i="32" s="1"/>
  <c r="H92" i="32"/>
  <c r="H26" i="31"/>
  <c r="I25" i="31"/>
  <c r="H21" i="20"/>
  <c r="H21" i="22"/>
  <c r="I20" i="22"/>
  <c r="H20" i="13"/>
  <c r="J19" i="13"/>
  <c r="J18" i="13"/>
  <c r="D39" i="17"/>
  <c r="D109" i="17"/>
  <c r="D19" i="17"/>
  <c r="E40" i="17"/>
  <c r="K40" i="17" s="1"/>
  <c r="K39" i="17" l="1"/>
  <c r="L67" i="15"/>
  <c r="I72" i="39"/>
  <c r="J70" i="39"/>
  <c r="J90" i="38"/>
  <c r="J83" i="38"/>
  <c r="K70" i="18"/>
  <c r="L69" i="18"/>
  <c r="K19" i="17"/>
  <c r="J63" i="17"/>
  <c r="K62" i="17"/>
  <c r="J48" i="22"/>
  <c r="K48" i="22" s="1"/>
  <c r="J50" i="32"/>
  <c r="K50" i="32" s="1"/>
  <c r="K51" i="31"/>
  <c r="L51" i="31" s="1"/>
  <c r="J47" i="20"/>
  <c r="K47" i="20" s="1"/>
  <c r="J57" i="33"/>
  <c r="K57" i="33" s="1"/>
  <c r="H41" i="33"/>
  <c r="I39" i="33"/>
  <c r="H44" i="33"/>
  <c r="I42" i="33"/>
  <c r="I18" i="19"/>
  <c r="E39" i="17"/>
  <c r="I80" i="40"/>
  <c r="J80" i="40" s="1"/>
  <c r="I81" i="40"/>
  <c r="J81" i="40" s="1"/>
  <c r="I75" i="39"/>
  <c r="J75" i="39" s="1"/>
  <c r="J74" i="37"/>
  <c r="K73" i="37"/>
  <c r="N73" i="37"/>
  <c r="M93" i="37"/>
  <c r="M94" i="37"/>
  <c r="M95" i="37"/>
  <c r="M98" i="37" s="1"/>
  <c r="I51" i="34"/>
  <c r="H53" i="34"/>
  <c r="H52" i="34"/>
  <c r="H94" i="32"/>
  <c r="H89" i="32"/>
  <c r="H27" i="31"/>
  <c r="H22" i="20"/>
  <c r="I21" i="20"/>
  <c r="H23" i="22"/>
  <c r="I21" i="22"/>
  <c r="D110" i="17"/>
  <c r="H21" i="13"/>
  <c r="J20" i="13"/>
  <c r="E19" i="17"/>
  <c r="L68" i="15" l="1"/>
  <c r="J72" i="39"/>
  <c r="I74" i="39"/>
  <c r="J85" i="38"/>
  <c r="J92" i="38"/>
  <c r="K71" i="18"/>
  <c r="L70" i="18"/>
  <c r="J64" i="17"/>
  <c r="K63" i="17"/>
  <c r="J49" i="22"/>
  <c r="K49" i="22" s="1"/>
  <c r="K52" i="31"/>
  <c r="L52" i="31" s="1"/>
  <c r="J58" i="33"/>
  <c r="K58" i="33" s="1"/>
  <c r="J48" i="20"/>
  <c r="K48" i="20" s="1"/>
  <c r="J51" i="32"/>
  <c r="K51" i="32" s="1"/>
  <c r="H46" i="33"/>
  <c r="I44" i="33"/>
  <c r="H43" i="33"/>
  <c r="I41" i="33"/>
  <c r="I19" i="19"/>
  <c r="J18" i="19"/>
  <c r="E110" i="17"/>
  <c r="G24" i="9" s="1"/>
  <c r="I83" i="40"/>
  <c r="J83" i="40" s="1"/>
  <c r="I82" i="40"/>
  <c r="J82" i="40" s="1"/>
  <c r="I77" i="39"/>
  <c r="J77" i="39" s="1"/>
  <c r="J75" i="37"/>
  <c r="K74" i="37"/>
  <c r="N74" i="37"/>
  <c r="M100" i="37"/>
  <c r="M97" i="37"/>
  <c r="M99" i="37" s="1"/>
  <c r="M96" i="37"/>
  <c r="I52" i="34"/>
  <c r="H54" i="34"/>
  <c r="I53" i="34"/>
  <c r="H55" i="34"/>
  <c r="H91" i="32"/>
  <c r="I89" i="32"/>
  <c r="H97" i="32"/>
  <c r="H28" i="31"/>
  <c r="H23" i="20"/>
  <c r="I22" i="20"/>
  <c r="H24" i="22"/>
  <c r="I23" i="22"/>
  <c r="J21" i="13"/>
  <c r="H23" i="13"/>
  <c r="H22" i="13"/>
  <c r="E143" i="16"/>
  <c r="E138" i="16"/>
  <c r="E137" i="16"/>
  <c r="E136" i="16"/>
  <c r="E131" i="16"/>
  <c r="E130" i="16"/>
  <c r="E129" i="16"/>
  <c r="E128" i="16"/>
  <c r="E127" i="16"/>
  <c r="E126" i="16"/>
  <c r="E125" i="16"/>
  <c r="E124" i="16"/>
  <c r="E123" i="16"/>
  <c r="E122" i="16"/>
  <c r="E119" i="16"/>
  <c r="E116" i="16"/>
  <c r="E115" i="16"/>
  <c r="E110" i="16"/>
  <c r="E107" i="16"/>
  <c r="E106" i="16"/>
  <c r="E105" i="16"/>
  <c r="E102" i="16"/>
  <c r="E101" i="16"/>
  <c r="E98" i="16"/>
  <c r="E97" i="16"/>
  <c r="E96" i="16"/>
  <c r="E95" i="16"/>
  <c r="E94" i="16"/>
  <c r="E93" i="16"/>
  <c r="E92" i="16"/>
  <c r="E91" i="16"/>
  <c r="E90" i="16"/>
  <c r="E89" i="16"/>
  <c r="E88" i="16"/>
  <c r="E87" i="16"/>
  <c r="E86" i="16"/>
  <c r="E85" i="16"/>
  <c r="E82" i="16"/>
  <c r="E81" i="16"/>
  <c r="E78" i="16"/>
  <c r="E77" i="16"/>
  <c r="E76" i="16"/>
  <c r="E75" i="16"/>
  <c r="E74" i="16"/>
  <c r="E73" i="16"/>
  <c r="E68" i="16"/>
  <c r="E67" i="16"/>
  <c r="E66" i="16"/>
  <c r="E63" i="16"/>
  <c r="E60" i="16"/>
  <c r="E59" i="16"/>
  <c r="C144" i="16"/>
  <c r="E35" i="16"/>
  <c r="C53" i="16"/>
  <c r="E40" i="16"/>
  <c r="E30" i="16"/>
  <c r="E29" i="16"/>
  <c r="D29" i="16"/>
  <c r="E15" i="16"/>
  <c r="L69" i="15" l="1"/>
  <c r="J74" i="39"/>
  <c r="I76" i="39"/>
  <c r="J94" i="38"/>
  <c r="J89" i="38"/>
  <c r="K72" i="18"/>
  <c r="L71" i="18"/>
  <c r="J65" i="17"/>
  <c r="K64" i="17"/>
  <c r="J49" i="20"/>
  <c r="K49" i="20" s="1"/>
  <c r="J59" i="33"/>
  <c r="K59" i="33" s="1"/>
  <c r="J52" i="32"/>
  <c r="K52" i="32" s="1"/>
  <c r="J51" i="22"/>
  <c r="K51" i="22" s="1"/>
  <c r="K50" i="22"/>
  <c r="K53" i="31"/>
  <c r="L53" i="31" s="1"/>
  <c r="H45" i="33"/>
  <c r="I43" i="33"/>
  <c r="I46" i="33"/>
  <c r="I20" i="19"/>
  <c r="I84" i="40"/>
  <c r="J84" i="40" s="1"/>
  <c r="I85" i="40"/>
  <c r="I79" i="39"/>
  <c r="J79" i="39" s="1"/>
  <c r="J76" i="37"/>
  <c r="K75" i="37"/>
  <c r="N75" i="37"/>
  <c r="M101" i="37"/>
  <c r="M102" i="37"/>
  <c r="M103" i="37"/>
  <c r="H57" i="34"/>
  <c r="H56" i="34"/>
  <c r="H93" i="32"/>
  <c r="I97" i="32"/>
  <c r="H99" i="32"/>
  <c r="I28" i="31"/>
  <c r="H29" i="31"/>
  <c r="H24" i="20"/>
  <c r="I23" i="20"/>
  <c r="H25" i="22"/>
  <c r="I24" i="22"/>
  <c r="E144" i="16"/>
  <c r="H24" i="13"/>
  <c r="J24" i="13" s="1"/>
  <c r="J22" i="13"/>
  <c r="H25" i="13"/>
  <c r="J23" i="13"/>
  <c r="E53" i="16"/>
  <c r="E25" i="16"/>
  <c r="L70" i="15" l="1"/>
  <c r="I78" i="39"/>
  <c r="J76" i="39"/>
  <c r="J91" i="38"/>
  <c r="K73" i="18"/>
  <c r="L72" i="18"/>
  <c r="J66" i="17"/>
  <c r="K65" i="17"/>
  <c r="J52" i="22"/>
  <c r="K52" i="22" s="1"/>
  <c r="J50" i="20"/>
  <c r="K50" i="20" s="1"/>
  <c r="J53" i="32"/>
  <c r="K53" i="32" s="1"/>
  <c r="J60" i="33"/>
  <c r="K60" i="33" s="1"/>
  <c r="K54" i="31"/>
  <c r="L54" i="31" s="1"/>
  <c r="H47" i="33"/>
  <c r="I45" i="33"/>
  <c r="H49" i="33"/>
  <c r="I21" i="19"/>
  <c r="J20" i="19"/>
  <c r="I87" i="40"/>
  <c r="J87" i="40" s="1"/>
  <c r="I86" i="40"/>
  <c r="I81" i="39"/>
  <c r="J81" i="39" s="1"/>
  <c r="J77" i="37"/>
  <c r="K76" i="37"/>
  <c r="N76" i="37"/>
  <c r="I56" i="34"/>
  <c r="H58" i="34"/>
  <c r="I57" i="34"/>
  <c r="H59" i="34"/>
  <c r="H95" i="32"/>
  <c r="H30" i="31"/>
  <c r="H25" i="20"/>
  <c r="I24" i="20"/>
  <c r="H26" i="22"/>
  <c r="I25" i="22"/>
  <c r="E145" i="16"/>
  <c r="H27" i="13"/>
  <c r="J25" i="13"/>
  <c r="C25" i="16"/>
  <c r="D143" i="16"/>
  <c r="H143" i="16" s="1"/>
  <c r="N143" i="16" s="1"/>
  <c r="D141" i="16"/>
  <c r="H141" i="16" s="1"/>
  <c r="N141" i="16" s="1"/>
  <c r="D139" i="16"/>
  <c r="H139" i="16" s="1"/>
  <c r="N139" i="16" s="1"/>
  <c r="D138" i="16"/>
  <c r="H138" i="16" s="1"/>
  <c r="N138" i="16" s="1"/>
  <c r="D137" i="16"/>
  <c r="H137" i="16" s="1"/>
  <c r="N137" i="16" s="1"/>
  <c r="D136" i="16"/>
  <c r="H136" i="16" s="1"/>
  <c r="N136" i="16" s="1"/>
  <c r="D134" i="16"/>
  <c r="D132" i="16"/>
  <c r="F132" i="16" s="1"/>
  <c r="D131" i="16"/>
  <c r="H131" i="16" s="1"/>
  <c r="N131" i="16" s="1"/>
  <c r="D130" i="16"/>
  <c r="H130" i="16" s="1"/>
  <c r="N130" i="16" s="1"/>
  <c r="D129" i="16"/>
  <c r="H129" i="16" s="1"/>
  <c r="N129" i="16" s="1"/>
  <c r="D128" i="16"/>
  <c r="H128" i="16" s="1"/>
  <c r="N128" i="16" s="1"/>
  <c r="D127" i="16"/>
  <c r="H127" i="16" s="1"/>
  <c r="N127" i="16" s="1"/>
  <c r="D126" i="16"/>
  <c r="H126" i="16" s="1"/>
  <c r="N126" i="16" s="1"/>
  <c r="D125" i="16"/>
  <c r="H125" i="16" s="1"/>
  <c r="N125" i="16" s="1"/>
  <c r="D124" i="16"/>
  <c r="H124" i="16" s="1"/>
  <c r="N124" i="16" s="1"/>
  <c r="D123" i="16"/>
  <c r="H123" i="16" s="1"/>
  <c r="N123" i="16" s="1"/>
  <c r="D122" i="16"/>
  <c r="H122" i="16" s="1"/>
  <c r="N122" i="16" s="1"/>
  <c r="D120" i="16"/>
  <c r="H120" i="16" s="1"/>
  <c r="N120" i="16" s="1"/>
  <c r="D119" i="16"/>
  <c r="H119" i="16" s="1"/>
  <c r="N119" i="16" s="1"/>
  <c r="D117" i="16"/>
  <c r="D116" i="16"/>
  <c r="H116" i="16" s="1"/>
  <c r="N116" i="16" s="1"/>
  <c r="D115" i="16"/>
  <c r="H115" i="16" s="1"/>
  <c r="N115" i="16" s="1"/>
  <c r="D113" i="16"/>
  <c r="D111" i="16"/>
  <c r="H111" i="16" s="1"/>
  <c r="N111" i="16" s="1"/>
  <c r="D110" i="16"/>
  <c r="H110" i="16" s="1"/>
  <c r="N110" i="16" s="1"/>
  <c r="D108" i="16"/>
  <c r="F108" i="16" s="1"/>
  <c r="D107" i="16"/>
  <c r="H107" i="16" s="1"/>
  <c r="N107" i="16" s="1"/>
  <c r="D106" i="16"/>
  <c r="H106" i="16" s="1"/>
  <c r="N106" i="16" s="1"/>
  <c r="D105" i="16"/>
  <c r="H105" i="16" s="1"/>
  <c r="N105" i="16" s="1"/>
  <c r="D103" i="16"/>
  <c r="D102" i="16"/>
  <c r="H102" i="16" s="1"/>
  <c r="N102" i="16" s="1"/>
  <c r="D101" i="16"/>
  <c r="H101" i="16" s="1"/>
  <c r="N101" i="16" s="1"/>
  <c r="D99" i="16"/>
  <c r="D98" i="16"/>
  <c r="H98" i="16" s="1"/>
  <c r="N98" i="16" s="1"/>
  <c r="D97" i="16"/>
  <c r="H97" i="16" s="1"/>
  <c r="N97" i="16" s="1"/>
  <c r="D96" i="16"/>
  <c r="H96" i="16" s="1"/>
  <c r="N96" i="16" s="1"/>
  <c r="D94" i="16"/>
  <c r="H94" i="16" s="1"/>
  <c r="N94" i="16" s="1"/>
  <c r="D93" i="16"/>
  <c r="H93" i="16" s="1"/>
  <c r="N93" i="16" s="1"/>
  <c r="D92" i="16"/>
  <c r="H92" i="16" s="1"/>
  <c r="N92" i="16" s="1"/>
  <c r="D91" i="16"/>
  <c r="H91" i="16" s="1"/>
  <c r="N91" i="16" s="1"/>
  <c r="D90" i="16"/>
  <c r="H90" i="16" s="1"/>
  <c r="N90" i="16" s="1"/>
  <c r="D89" i="16"/>
  <c r="H89" i="16" s="1"/>
  <c r="N89" i="16" s="1"/>
  <c r="D88" i="16"/>
  <c r="H88" i="16" s="1"/>
  <c r="N88" i="16" s="1"/>
  <c r="D87" i="16"/>
  <c r="H87" i="16" s="1"/>
  <c r="N87" i="16" s="1"/>
  <c r="D86" i="16"/>
  <c r="H86" i="16" s="1"/>
  <c r="N86" i="16" s="1"/>
  <c r="D85" i="16"/>
  <c r="H85" i="16" s="1"/>
  <c r="N85" i="16" s="1"/>
  <c r="D83" i="16"/>
  <c r="D82" i="16"/>
  <c r="H82" i="16" s="1"/>
  <c r="N82" i="16" s="1"/>
  <c r="D81" i="16"/>
  <c r="H81" i="16" s="1"/>
  <c r="N81" i="16" s="1"/>
  <c r="D79" i="16"/>
  <c r="H79" i="16" s="1"/>
  <c r="N79" i="16" s="1"/>
  <c r="D78" i="16"/>
  <c r="H78" i="16" s="1"/>
  <c r="N78" i="16" s="1"/>
  <c r="D77" i="16"/>
  <c r="H77" i="16" s="1"/>
  <c r="N77" i="16" s="1"/>
  <c r="D76" i="16"/>
  <c r="H76" i="16" s="1"/>
  <c r="N76" i="16" s="1"/>
  <c r="D75" i="16"/>
  <c r="H75" i="16" s="1"/>
  <c r="N75" i="16" s="1"/>
  <c r="D74" i="16"/>
  <c r="H74" i="16" s="1"/>
  <c r="N74" i="16" s="1"/>
  <c r="D73" i="16"/>
  <c r="H73" i="16" s="1"/>
  <c r="N73" i="16" s="1"/>
  <c r="D71" i="16"/>
  <c r="H71" i="16" s="1"/>
  <c r="N71" i="16" s="1"/>
  <c r="D69" i="16"/>
  <c r="H69" i="16" s="1"/>
  <c r="N69" i="16" s="1"/>
  <c r="D68" i="16"/>
  <c r="H68" i="16" s="1"/>
  <c r="N68" i="16" s="1"/>
  <c r="D67" i="16"/>
  <c r="H67" i="16" s="1"/>
  <c r="N67" i="16" s="1"/>
  <c r="D66" i="16"/>
  <c r="H66" i="16" s="1"/>
  <c r="N66" i="16" s="1"/>
  <c r="D64" i="16"/>
  <c r="H64" i="16" s="1"/>
  <c r="N64" i="16" s="1"/>
  <c r="D63" i="16"/>
  <c r="H63" i="16" s="1"/>
  <c r="N63" i="16" s="1"/>
  <c r="D61" i="16"/>
  <c r="D60" i="16"/>
  <c r="H60" i="16" s="1"/>
  <c r="N60" i="16" s="1"/>
  <c r="D59" i="16"/>
  <c r="H59" i="16" s="1"/>
  <c r="N59" i="16" s="1"/>
  <c r="D57" i="16"/>
  <c r="D55" i="16"/>
  <c r="F55" i="16" s="1"/>
  <c r="D51" i="16"/>
  <c r="D49" i="16"/>
  <c r="F49" i="16" s="1"/>
  <c r="D47" i="16"/>
  <c r="D45" i="16"/>
  <c r="F45" i="16" s="1"/>
  <c r="D43" i="16"/>
  <c r="D41" i="16"/>
  <c r="F41" i="16" s="1"/>
  <c r="D40" i="16"/>
  <c r="H40" i="16" s="1"/>
  <c r="N40" i="16" s="1"/>
  <c r="D38" i="16"/>
  <c r="D36" i="16"/>
  <c r="D35" i="16"/>
  <c r="H35" i="16" s="1"/>
  <c r="N35" i="16" s="1"/>
  <c r="D33" i="16"/>
  <c r="D31" i="16"/>
  <c r="D30" i="16"/>
  <c r="H30" i="16" s="1"/>
  <c r="N30" i="16" s="1"/>
  <c r="H29" i="16"/>
  <c r="N29" i="16" s="1"/>
  <c r="D27" i="16"/>
  <c r="D23" i="16"/>
  <c r="F23" i="16" s="1"/>
  <c r="D21" i="16"/>
  <c r="F21" i="16" s="1"/>
  <c r="D19" i="16"/>
  <c r="F19" i="16" s="1"/>
  <c r="D18" i="16"/>
  <c r="D16" i="16"/>
  <c r="F16" i="16" s="1"/>
  <c r="D15" i="16"/>
  <c r="H15" i="16" s="1"/>
  <c r="N15" i="16" s="1"/>
  <c r="D13" i="16"/>
  <c r="F13" i="16" s="1"/>
  <c r="D11" i="16"/>
  <c r="F11" i="16" s="1"/>
  <c r="D9" i="16"/>
  <c r="F9" i="16" s="1"/>
  <c r="D7" i="16"/>
  <c r="F7" i="16" s="1"/>
  <c r="D5" i="16"/>
  <c r="F5" i="16" s="1"/>
  <c r="J78" i="39" l="1"/>
  <c r="I80" i="39"/>
  <c r="I82" i="39" s="1"/>
  <c r="J99" i="38"/>
  <c r="J97" i="38"/>
  <c r="J93" i="38"/>
  <c r="K74" i="18"/>
  <c r="K75" i="18" s="1"/>
  <c r="L73" i="18"/>
  <c r="J67" i="17"/>
  <c r="K66" i="17"/>
  <c r="J53" i="22"/>
  <c r="K53" i="22" s="1"/>
  <c r="J61" i="33"/>
  <c r="K61" i="33" s="1"/>
  <c r="K55" i="31"/>
  <c r="L55" i="31" s="1"/>
  <c r="J54" i="32"/>
  <c r="K54" i="32" s="1"/>
  <c r="J51" i="20"/>
  <c r="K51" i="20" s="1"/>
  <c r="H51" i="33"/>
  <c r="I49" i="33"/>
  <c r="H48" i="33"/>
  <c r="I47" i="33"/>
  <c r="I22" i="19"/>
  <c r="J21" i="19"/>
  <c r="I88" i="40"/>
  <c r="J88" i="40" s="1"/>
  <c r="I83" i="39"/>
  <c r="J83" i="39" s="1"/>
  <c r="J78" i="37"/>
  <c r="K77" i="37"/>
  <c r="N77" i="37"/>
  <c r="I59" i="34"/>
  <c r="H61" i="34"/>
  <c r="I58" i="34"/>
  <c r="H60" i="34"/>
  <c r="H96" i="32"/>
  <c r="H31" i="31"/>
  <c r="H26" i="20"/>
  <c r="I25" i="20"/>
  <c r="H27" i="22"/>
  <c r="I26" i="22"/>
  <c r="C145" i="16"/>
  <c r="H28" i="13"/>
  <c r="J27" i="13"/>
  <c r="H108" i="16"/>
  <c r="N108" i="16" s="1"/>
  <c r="F139" i="16"/>
  <c r="G24" i="16"/>
  <c r="F71" i="16"/>
  <c r="F111" i="16"/>
  <c r="G8" i="16"/>
  <c r="F120" i="16"/>
  <c r="F33" i="16"/>
  <c r="G42" i="16"/>
  <c r="G109" i="16"/>
  <c r="G50" i="16"/>
  <c r="G12" i="16"/>
  <c r="G56" i="16"/>
  <c r="G20" i="16"/>
  <c r="F36" i="16"/>
  <c r="G46" i="16"/>
  <c r="G133" i="16"/>
  <c r="F113" i="16"/>
  <c r="F117" i="16"/>
  <c r="H132" i="16"/>
  <c r="N132" i="16" s="1"/>
  <c r="H113" i="16"/>
  <c r="N113" i="16" s="1"/>
  <c r="H117" i="16"/>
  <c r="N117" i="16" s="1"/>
  <c r="F99" i="16"/>
  <c r="F103" i="16"/>
  <c r="G17" i="16"/>
  <c r="F38" i="16"/>
  <c r="F64" i="16"/>
  <c r="H99" i="16"/>
  <c r="N99" i="16" s="1"/>
  <c r="H103" i="16"/>
  <c r="N103" i="16" s="1"/>
  <c r="F134" i="16"/>
  <c r="H134" i="16"/>
  <c r="N134" i="16" s="1"/>
  <c r="G6" i="16"/>
  <c r="G10" i="16"/>
  <c r="G14" i="16"/>
  <c r="G22" i="16"/>
  <c r="F27" i="16"/>
  <c r="F31" i="16"/>
  <c r="F43" i="16"/>
  <c r="F47" i="16"/>
  <c r="F51" i="16"/>
  <c r="F57" i="16"/>
  <c r="F61" i="16"/>
  <c r="F69" i="16"/>
  <c r="F79" i="16"/>
  <c r="F83" i="16"/>
  <c r="F141" i="16"/>
  <c r="J80" i="39" l="1"/>
  <c r="J95" i="38"/>
  <c r="L74" i="18"/>
  <c r="J68" i="17"/>
  <c r="K67" i="17"/>
  <c r="K56" i="31"/>
  <c r="L56" i="31" s="1"/>
  <c r="J55" i="32"/>
  <c r="K55" i="32" s="1"/>
  <c r="J62" i="33"/>
  <c r="K62" i="33" s="1"/>
  <c r="J52" i="20"/>
  <c r="K52" i="20" s="1"/>
  <c r="J54" i="22"/>
  <c r="K54" i="22" s="1"/>
  <c r="I51" i="33"/>
  <c r="H53" i="33"/>
  <c r="H50" i="33"/>
  <c r="I48" i="33"/>
  <c r="H98" i="32"/>
  <c r="H100" i="32" s="1"/>
  <c r="I96" i="32"/>
  <c r="I23" i="19"/>
  <c r="J22" i="19"/>
  <c r="I90" i="40"/>
  <c r="I89" i="40"/>
  <c r="J89" i="40" s="1"/>
  <c r="I85" i="39"/>
  <c r="J79" i="37"/>
  <c r="K78" i="37"/>
  <c r="N78" i="37"/>
  <c r="I60" i="34"/>
  <c r="H62" i="34"/>
  <c r="I61" i="34"/>
  <c r="H63" i="34"/>
  <c r="H32" i="31"/>
  <c r="H27" i="20"/>
  <c r="I26" i="20"/>
  <c r="H28" i="22"/>
  <c r="I27" i="22"/>
  <c r="H55" i="16"/>
  <c r="N55" i="16" s="1"/>
  <c r="G118" i="16"/>
  <c r="G84" i="16"/>
  <c r="H21" i="16"/>
  <c r="N21" i="16" s="1"/>
  <c r="H11" i="16"/>
  <c r="N11" i="16" s="1"/>
  <c r="H13" i="16"/>
  <c r="N13" i="16" s="1"/>
  <c r="H19" i="16"/>
  <c r="N19" i="16" s="1"/>
  <c r="H7" i="16"/>
  <c r="N7" i="16" s="1"/>
  <c r="G142" i="16"/>
  <c r="H16" i="16"/>
  <c r="N16" i="16" s="1"/>
  <c r="G114" i="16"/>
  <c r="H49" i="16"/>
  <c r="N49" i="16" s="1"/>
  <c r="G112" i="16"/>
  <c r="G65" i="16"/>
  <c r="F25" i="16"/>
  <c r="G72" i="16"/>
  <c r="G121" i="16"/>
  <c r="H5" i="16"/>
  <c r="N5" i="16" s="1"/>
  <c r="G80" i="16"/>
  <c r="G104" i="16"/>
  <c r="H41" i="16"/>
  <c r="N41" i="16" s="1"/>
  <c r="H23" i="16"/>
  <c r="N23" i="16" s="1"/>
  <c r="H9" i="16"/>
  <c r="N9" i="16" s="1"/>
  <c r="G70" i="16"/>
  <c r="G135" i="16"/>
  <c r="G100" i="16"/>
  <c r="H45" i="16"/>
  <c r="N45" i="16" s="1"/>
  <c r="G140" i="16"/>
  <c r="J28" i="13"/>
  <c r="H29" i="13"/>
  <c r="G62" i="16"/>
  <c r="G58" i="16"/>
  <c r="F144" i="16"/>
  <c r="F53" i="16"/>
  <c r="G37" i="16"/>
  <c r="G52" i="16"/>
  <c r="G48" i="16"/>
  <c r="G39" i="16"/>
  <c r="G44" i="16"/>
  <c r="G34" i="16"/>
  <c r="G28" i="16"/>
  <c r="G32" i="16"/>
  <c r="L72" i="15" l="1"/>
  <c r="J82" i="39"/>
  <c r="I84" i="39"/>
  <c r="I87" i="39"/>
  <c r="J87" i="39" s="1"/>
  <c r="J85" i="39"/>
  <c r="J96" i="38"/>
  <c r="J69" i="17"/>
  <c r="K68" i="17"/>
  <c r="J63" i="33"/>
  <c r="K63" i="33" s="1"/>
  <c r="J56" i="32"/>
  <c r="K56" i="32" s="1"/>
  <c r="J55" i="22"/>
  <c r="K55" i="22" s="1"/>
  <c r="J53" i="20"/>
  <c r="K53" i="20" s="1"/>
  <c r="K57" i="31"/>
  <c r="L57" i="31" s="1"/>
  <c r="H55" i="33"/>
  <c r="I53" i="33"/>
  <c r="I50" i="33"/>
  <c r="H52" i="33"/>
  <c r="I24" i="19"/>
  <c r="J23" i="19"/>
  <c r="I91" i="40"/>
  <c r="J91" i="40" s="1"/>
  <c r="I92" i="40"/>
  <c r="J80" i="37"/>
  <c r="K79" i="37"/>
  <c r="N79" i="37"/>
  <c r="I63" i="34"/>
  <c r="H65" i="34"/>
  <c r="I62" i="34"/>
  <c r="H64" i="34"/>
  <c r="H28" i="20"/>
  <c r="I27" i="20"/>
  <c r="H29" i="22"/>
  <c r="I28" i="22"/>
  <c r="H33" i="16"/>
  <c r="N33" i="16" s="1"/>
  <c r="H31" i="16"/>
  <c r="N31" i="16" s="1"/>
  <c r="H51" i="16"/>
  <c r="N51" i="16" s="1"/>
  <c r="H27" i="16"/>
  <c r="N27" i="16" s="1"/>
  <c r="H36" i="16"/>
  <c r="N36" i="16" s="1"/>
  <c r="H38" i="16"/>
  <c r="N38" i="16" s="1"/>
  <c r="H57" i="16"/>
  <c r="N57" i="16" s="1"/>
  <c r="H43" i="16"/>
  <c r="N43" i="16" s="1"/>
  <c r="G25" i="16"/>
  <c r="H47" i="16"/>
  <c r="N47" i="16" s="1"/>
  <c r="H61" i="16"/>
  <c r="N61" i="16" s="1"/>
  <c r="G144" i="16"/>
  <c r="H30" i="13"/>
  <c r="J29" i="13"/>
  <c r="F145" i="16"/>
  <c r="G53" i="16"/>
  <c r="N25" i="16"/>
  <c r="N144" i="16" l="1"/>
  <c r="L73" i="15"/>
  <c r="J84" i="39"/>
  <c r="I86" i="39"/>
  <c r="J100" i="38"/>
  <c r="J98" i="38"/>
  <c r="K76" i="18"/>
  <c r="L75" i="18"/>
  <c r="J70" i="17"/>
  <c r="K69" i="17"/>
  <c r="N53" i="16"/>
  <c r="J64" i="33"/>
  <c r="K64" i="33" s="1"/>
  <c r="J54" i="20"/>
  <c r="K54" i="20" s="1"/>
  <c r="K58" i="31"/>
  <c r="L58" i="31" s="1"/>
  <c r="J56" i="22"/>
  <c r="K56" i="22" s="1"/>
  <c r="J57" i="32"/>
  <c r="K57" i="32" s="1"/>
  <c r="H57" i="33"/>
  <c r="I55" i="33"/>
  <c r="H54" i="33"/>
  <c r="I52" i="33"/>
  <c r="I25" i="19"/>
  <c r="J24" i="19"/>
  <c r="I93" i="40"/>
  <c r="J93" i="40" s="1"/>
  <c r="J81" i="37"/>
  <c r="K80" i="37"/>
  <c r="N80" i="37"/>
  <c r="I64" i="34"/>
  <c r="H66" i="34"/>
  <c r="I65" i="34"/>
  <c r="H67" i="34"/>
  <c r="H29" i="20"/>
  <c r="I28" i="20"/>
  <c r="H30" i="22"/>
  <c r="I29" i="22"/>
  <c r="G145" i="16"/>
  <c r="H31" i="13"/>
  <c r="J30" i="13"/>
  <c r="N145" i="16" l="1"/>
  <c r="L74" i="15"/>
  <c r="J86" i="39"/>
  <c r="I88" i="39"/>
  <c r="K77" i="18"/>
  <c r="L76" i="18"/>
  <c r="J71" i="17"/>
  <c r="K70" i="17"/>
  <c r="J65" i="33"/>
  <c r="K65" i="33" s="1"/>
  <c r="J57" i="22"/>
  <c r="K57" i="22" s="1"/>
  <c r="J58" i="32"/>
  <c r="K58" i="32" s="1"/>
  <c r="K59" i="31"/>
  <c r="L59" i="31" s="1"/>
  <c r="J55" i="20"/>
  <c r="H59" i="33"/>
  <c r="I57" i="33"/>
  <c r="H56" i="33"/>
  <c r="I54" i="33"/>
  <c r="I26" i="19"/>
  <c r="J25" i="19"/>
  <c r="G21" i="9"/>
  <c r="J82" i="37"/>
  <c r="K81" i="37"/>
  <c r="N81" i="37"/>
  <c r="H69" i="34"/>
  <c r="I66" i="34"/>
  <c r="H68" i="34"/>
  <c r="H30" i="20"/>
  <c r="I29" i="20"/>
  <c r="H31" i="22"/>
  <c r="I30" i="22"/>
  <c r="J31" i="13"/>
  <c r="H33" i="13"/>
  <c r="D98" i="15"/>
  <c r="D34" i="15"/>
  <c r="D17" i="15"/>
  <c r="E97" i="15"/>
  <c r="E96" i="15"/>
  <c r="E95" i="15"/>
  <c r="E94" i="15"/>
  <c r="E93" i="15"/>
  <c r="E92" i="15"/>
  <c r="E91" i="15"/>
  <c r="E90" i="15"/>
  <c r="E89" i="15"/>
  <c r="E88" i="15"/>
  <c r="E87" i="15"/>
  <c r="E86" i="15"/>
  <c r="E85" i="15"/>
  <c r="E84" i="15"/>
  <c r="E83" i="15"/>
  <c r="E82" i="15"/>
  <c r="E81" i="15"/>
  <c r="E80" i="15"/>
  <c r="E79" i="15"/>
  <c r="E78" i="15"/>
  <c r="E77" i="15"/>
  <c r="E76" i="15"/>
  <c r="E75" i="15"/>
  <c r="F75" i="15" s="1"/>
  <c r="E73" i="15"/>
  <c r="E72" i="15"/>
  <c r="E71" i="15"/>
  <c r="E70" i="15"/>
  <c r="E69" i="15"/>
  <c r="E68" i="15"/>
  <c r="E67" i="15"/>
  <c r="E66" i="15"/>
  <c r="E65" i="15"/>
  <c r="E64" i="15"/>
  <c r="E63" i="15"/>
  <c r="E62" i="15"/>
  <c r="E61" i="15"/>
  <c r="E60" i="15"/>
  <c r="E59" i="15"/>
  <c r="E58" i="15"/>
  <c r="E57" i="15"/>
  <c r="E56" i="15"/>
  <c r="F56" i="15" s="1"/>
  <c r="M56" i="15" s="1"/>
  <c r="E54" i="15"/>
  <c r="E53" i="15"/>
  <c r="E52" i="15"/>
  <c r="E51" i="15"/>
  <c r="E50" i="15"/>
  <c r="E49" i="15"/>
  <c r="E48" i="15"/>
  <c r="E47" i="15"/>
  <c r="E46" i="15"/>
  <c r="F46" i="15" s="1"/>
  <c r="M46" i="15" s="1"/>
  <c r="E45" i="15"/>
  <c r="E44" i="15"/>
  <c r="E43" i="15"/>
  <c r="E42" i="15"/>
  <c r="E41" i="15"/>
  <c r="E40" i="15"/>
  <c r="E39" i="15"/>
  <c r="E38" i="15"/>
  <c r="F38" i="15" s="1"/>
  <c r="M38" i="15" s="1"/>
  <c r="E37" i="15"/>
  <c r="E36" i="15"/>
  <c r="E35" i="15"/>
  <c r="E33" i="15"/>
  <c r="E32" i="15"/>
  <c r="E31" i="15"/>
  <c r="F31" i="15" s="1"/>
  <c r="M31" i="15" s="1"/>
  <c r="E29" i="15"/>
  <c r="E28" i="15"/>
  <c r="E27" i="15"/>
  <c r="E26" i="15"/>
  <c r="E25" i="15"/>
  <c r="F25" i="15" s="1"/>
  <c r="M25" i="15" s="1"/>
  <c r="E23" i="15"/>
  <c r="E22" i="15"/>
  <c r="E21" i="15"/>
  <c r="E20" i="15"/>
  <c r="E19" i="15"/>
  <c r="F19" i="15" s="1"/>
  <c r="M19" i="15" s="1"/>
  <c r="E16" i="15"/>
  <c r="E15" i="15"/>
  <c r="E14" i="15"/>
  <c r="E12" i="15"/>
  <c r="E11" i="15"/>
  <c r="E10" i="15"/>
  <c r="E9" i="15"/>
  <c r="F9" i="15" s="1"/>
  <c r="M9" i="15" s="1"/>
  <c r="E7" i="15"/>
  <c r="E6" i="15"/>
  <c r="E5" i="15"/>
  <c r="K55" i="20" l="1"/>
  <c r="J56" i="20"/>
  <c r="L75" i="15"/>
  <c r="J88" i="39"/>
  <c r="I89" i="39"/>
  <c r="I90" i="39" s="1"/>
  <c r="K78" i="18"/>
  <c r="L77" i="18"/>
  <c r="J72" i="17"/>
  <c r="K71" i="17"/>
  <c r="J66" i="33"/>
  <c r="K66" i="33" s="1"/>
  <c r="K60" i="31"/>
  <c r="L60" i="31" s="1"/>
  <c r="J58" i="22"/>
  <c r="K58" i="22" s="1"/>
  <c r="J59" i="32"/>
  <c r="K59" i="32" s="1"/>
  <c r="H58" i="33"/>
  <c r="I56" i="33"/>
  <c r="I59" i="33"/>
  <c r="H61" i="33"/>
  <c r="I27" i="19"/>
  <c r="J26" i="19"/>
  <c r="E34" i="15"/>
  <c r="J83" i="37"/>
  <c r="K82" i="37"/>
  <c r="N82" i="37"/>
  <c r="H70" i="34"/>
  <c r="H71" i="34"/>
  <c r="H31" i="20"/>
  <c r="I30" i="20"/>
  <c r="H32" i="22"/>
  <c r="I31" i="22"/>
  <c r="F27" i="15"/>
  <c r="M27" i="15" s="1"/>
  <c r="F37" i="15"/>
  <c r="M37" i="15" s="1"/>
  <c r="F45" i="15"/>
  <c r="M45" i="15" s="1"/>
  <c r="F52" i="15"/>
  <c r="M52" i="15" s="1"/>
  <c r="F61" i="15"/>
  <c r="M61" i="15" s="1"/>
  <c r="F69" i="15"/>
  <c r="M69" i="15" s="1"/>
  <c r="F77" i="15"/>
  <c r="F90" i="15"/>
  <c r="F97" i="15"/>
  <c r="F28" i="15"/>
  <c r="M28" i="15" s="1"/>
  <c r="F53" i="15"/>
  <c r="M53" i="15" s="1"/>
  <c r="F62" i="15"/>
  <c r="M62" i="15" s="1"/>
  <c r="F70" i="15"/>
  <c r="M70" i="15" s="1"/>
  <c r="F78" i="15"/>
  <c r="F84" i="15"/>
  <c r="F91" i="15"/>
  <c r="F10" i="15"/>
  <c r="M10" i="15" s="1"/>
  <c r="F11" i="15"/>
  <c r="M11" i="15" s="1"/>
  <c r="F20" i="15"/>
  <c r="M20" i="15" s="1"/>
  <c r="F29" i="15"/>
  <c r="M29" i="15" s="1"/>
  <c r="F39" i="15"/>
  <c r="M39" i="15" s="1"/>
  <c r="F47" i="15"/>
  <c r="M47" i="15" s="1"/>
  <c r="F54" i="15"/>
  <c r="M54" i="15" s="1"/>
  <c r="F63" i="15"/>
  <c r="M63" i="15" s="1"/>
  <c r="F79" i="15"/>
  <c r="F85" i="15"/>
  <c r="F92" i="15"/>
  <c r="F7" i="15"/>
  <c r="M7" i="15" s="1"/>
  <c r="F12" i="15"/>
  <c r="M12" i="15" s="1"/>
  <c r="F21" i="15"/>
  <c r="M21" i="15" s="1"/>
  <c r="F40" i="15"/>
  <c r="M40" i="15" s="1"/>
  <c r="F64" i="15"/>
  <c r="M64" i="15" s="1"/>
  <c r="F71" i="15"/>
  <c r="M71" i="15" s="1"/>
  <c r="F80" i="15"/>
  <c r="F86" i="15"/>
  <c r="F93" i="15"/>
  <c r="F14" i="15"/>
  <c r="M14" i="15" s="1"/>
  <c r="F22" i="15"/>
  <c r="M22" i="15" s="1"/>
  <c r="F32" i="15"/>
  <c r="M32" i="15" s="1"/>
  <c r="F41" i="15"/>
  <c r="M41" i="15" s="1"/>
  <c r="F48" i="15"/>
  <c r="M48" i="15" s="1"/>
  <c r="F57" i="15"/>
  <c r="M57" i="15" s="1"/>
  <c r="F65" i="15"/>
  <c r="M65" i="15" s="1"/>
  <c r="F72" i="15"/>
  <c r="M72" i="15" s="1"/>
  <c r="F81" i="15"/>
  <c r="F87" i="15"/>
  <c r="F5" i="15"/>
  <c r="M5" i="15" s="1"/>
  <c r="F15" i="15"/>
  <c r="M15" i="15" s="1"/>
  <c r="F23" i="15"/>
  <c r="M23" i="15" s="1"/>
  <c r="F33" i="15"/>
  <c r="M33" i="15" s="1"/>
  <c r="F42" i="15"/>
  <c r="M42" i="15" s="1"/>
  <c r="F49" i="15"/>
  <c r="M49" i="15" s="1"/>
  <c r="F58" i="15"/>
  <c r="M58" i="15" s="1"/>
  <c r="F66" i="15"/>
  <c r="M66" i="15" s="1"/>
  <c r="F73" i="15"/>
  <c r="M73" i="15" s="1"/>
  <c r="F88" i="15"/>
  <c r="F94" i="15"/>
  <c r="F6" i="15"/>
  <c r="M6" i="15" s="1"/>
  <c r="F16" i="15"/>
  <c r="M16" i="15" s="1"/>
  <c r="F35" i="15"/>
  <c r="M35" i="15" s="1"/>
  <c r="F43" i="15"/>
  <c r="M43" i="15" s="1"/>
  <c r="F50" i="15"/>
  <c r="M50" i="15" s="1"/>
  <c r="F59" i="15"/>
  <c r="M59" i="15" s="1"/>
  <c r="F67" i="15"/>
  <c r="M67" i="15" s="1"/>
  <c r="F74" i="15"/>
  <c r="M74" i="15" s="1"/>
  <c r="F82" i="15"/>
  <c r="F95" i="15"/>
  <c r="F26" i="15"/>
  <c r="M26" i="15" s="1"/>
  <c r="F36" i="15"/>
  <c r="M36" i="15" s="1"/>
  <c r="F44" i="15"/>
  <c r="M44" i="15" s="1"/>
  <c r="F51" i="15"/>
  <c r="M51" i="15" s="1"/>
  <c r="F60" i="15"/>
  <c r="M60" i="15" s="1"/>
  <c r="F68" i="15"/>
  <c r="M68" i="15" s="1"/>
  <c r="F76" i="15"/>
  <c r="F83" i="15"/>
  <c r="F89" i="15"/>
  <c r="F96" i="15"/>
  <c r="D99" i="15"/>
  <c r="G99" i="15" s="1"/>
  <c r="J33" i="13"/>
  <c r="H34" i="13"/>
  <c r="E98" i="15"/>
  <c r="E17" i="15"/>
  <c r="J90" i="39" l="1"/>
  <c r="I92" i="39"/>
  <c r="J92" i="39" s="1"/>
  <c r="M34" i="15"/>
  <c r="M17" i="15"/>
  <c r="L76" i="15"/>
  <c r="M75" i="15"/>
  <c r="J89" i="39"/>
  <c r="I91" i="39"/>
  <c r="K79" i="18"/>
  <c r="L78" i="18"/>
  <c r="J73" i="17"/>
  <c r="K72" i="17"/>
  <c r="J60" i="32"/>
  <c r="K60" i="32" s="1"/>
  <c r="J59" i="22"/>
  <c r="K59" i="22" s="1"/>
  <c r="K61" i="31"/>
  <c r="L61" i="31" s="1"/>
  <c r="J67" i="33"/>
  <c r="K67" i="33" s="1"/>
  <c r="H60" i="33"/>
  <c r="I58" i="33"/>
  <c r="H63" i="33"/>
  <c r="I61" i="33"/>
  <c r="I28" i="19"/>
  <c r="J27" i="19"/>
  <c r="F98" i="15"/>
  <c r="F17" i="15"/>
  <c r="F34" i="15"/>
  <c r="J84" i="37"/>
  <c r="K83" i="37"/>
  <c r="N83" i="37"/>
  <c r="H73" i="34"/>
  <c r="H72" i="34"/>
  <c r="H32" i="20"/>
  <c r="H33" i="20" s="1"/>
  <c r="H34" i="20" s="1"/>
  <c r="I31" i="20"/>
  <c r="H33" i="22"/>
  <c r="I32" i="22"/>
  <c r="J34" i="13"/>
  <c r="H35" i="13"/>
  <c r="E99" i="15"/>
  <c r="C105" i="14"/>
  <c r="C106" i="14" s="1"/>
  <c r="C38" i="14"/>
  <c r="C21" i="14"/>
  <c r="D104" i="14"/>
  <c r="E104" i="14" s="1"/>
  <c r="D103" i="14"/>
  <c r="E103" i="14" s="1"/>
  <c r="D102" i="14"/>
  <c r="E102" i="14" s="1"/>
  <c r="D101" i="14"/>
  <c r="E101" i="14" s="1"/>
  <c r="D100" i="14"/>
  <c r="E100" i="14" s="1"/>
  <c r="D99" i="14"/>
  <c r="E99" i="14" s="1"/>
  <c r="D98" i="14"/>
  <c r="E98" i="14" s="1"/>
  <c r="D97" i="14"/>
  <c r="E97" i="14" s="1"/>
  <c r="D96" i="14"/>
  <c r="E96" i="14" s="1"/>
  <c r="D95" i="14"/>
  <c r="E95" i="14" s="1"/>
  <c r="D94" i="14"/>
  <c r="E94" i="14" s="1"/>
  <c r="D93" i="14"/>
  <c r="E93" i="14" s="1"/>
  <c r="D92" i="14"/>
  <c r="E92" i="14" s="1"/>
  <c r="D91" i="14"/>
  <c r="E91" i="14" s="1"/>
  <c r="D90" i="14"/>
  <c r="E90" i="14" s="1"/>
  <c r="D89" i="14"/>
  <c r="E89" i="14" s="1"/>
  <c r="D88" i="14"/>
  <c r="E88" i="14" s="1"/>
  <c r="D87" i="14"/>
  <c r="E87" i="14" s="1"/>
  <c r="D86" i="14"/>
  <c r="E86" i="14" s="1"/>
  <c r="D85" i="14"/>
  <c r="E85" i="14" s="1"/>
  <c r="D84" i="14"/>
  <c r="E84" i="14" s="1"/>
  <c r="D83" i="14"/>
  <c r="E83" i="14" s="1"/>
  <c r="D82" i="14"/>
  <c r="E82" i="14" s="1"/>
  <c r="D81" i="14"/>
  <c r="E81" i="14" s="1"/>
  <c r="D80" i="14"/>
  <c r="E80" i="14" s="1"/>
  <c r="D79" i="14"/>
  <c r="E79" i="14" s="1"/>
  <c r="D78" i="14"/>
  <c r="E78" i="14" s="1"/>
  <c r="D77" i="14"/>
  <c r="E77" i="14" s="1"/>
  <c r="D76" i="14"/>
  <c r="E76" i="14" s="1"/>
  <c r="D75" i="14"/>
  <c r="E75" i="14" s="1"/>
  <c r="D74" i="14"/>
  <c r="E74" i="14" s="1"/>
  <c r="D73" i="14"/>
  <c r="E73" i="14" s="1"/>
  <c r="D72" i="14"/>
  <c r="E72" i="14" s="1"/>
  <c r="D71" i="14"/>
  <c r="E71" i="14" s="1"/>
  <c r="D70" i="14"/>
  <c r="E70" i="14" s="1"/>
  <c r="D69" i="14"/>
  <c r="E69" i="14" s="1"/>
  <c r="D68" i="14"/>
  <c r="E68" i="14" s="1"/>
  <c r="D67" i="14"/>
  <c r="E67" i="14" s="1"/>
  <c r="D66" i="14"/>
  <c r="E66" i="14" s="1"/>
  <c r="D65" i="14"/>
  <c r="E65" i="14" s="1"/>
  <c r="D64" i="14"/>
  <c r="E64" i="14" s="1"/>
  <c r="D63" i="14"/>
  <c r="E63" i="14" s="1"/>
  <c r="D62" i="14"/>
  <c r="E62" i="14" s="1"/>
  <c r="D61" i="14"/>
  <c r="E61" i="14" s="1"/>
  <c r="D60" i="14"/>
  <c r="E60" i="14" s="1"/>
  <c r="D59" i="14"/>
  <c r="E59" i="14" s="1"/>
  <c r="D58" i="14"/>
  <c r="E58" i="14" s="1"/>
  <c r="D57" i="14"/>
  <c r="E57" i="14" s="1"/>
  <c r="D56" i="14"/>
  <c r="E56" i="14" s="1"/>
  <c r="D55" i="14"/>
  <c r="E55" i="14" s="1"/>
  <c r="D54" i="14"/>
  <c r="E54" i="14" s="1"/>
  <c r="D53" i="14"/>
  <c r="E53" i="14" s="1"/>
  <c r="D52" i="14"/>
  <c r="E52" i="14" s="1"/>
  <c r="D51" i="14"/>
  <c r="E51" i="14" s="1"/>
  <c r="D50" i="14"/>
  <c r="E50" i="14" s="1"/>
  <c r="D49" i="14"/>
  <c r="E49" i="14" s="1"/>
  <c r="D48" i="14"/>
  <c r="E48" i="14" s="1"/>
  <c r="D47" i="14"/>
  <c r="E47" i="14" s="1"/>
  <c r="D46" i="14"/>
  <c r="E46" i="14" s="1"/>
  <c r="D45" i="14"/>
  <c r="E45" i="14" s="1"/>
  <c r="D44" i="14"/>
  <c r="E44" i="14" s="1"/>
  <c r="D43" i="14"/>
  <c r="E43" i="14" s="1"/>
  <c r="D42" i="14"/>
  <c r="E42" i="14" s="1"/>
  <c r="D41" i="14"/>
  <c r="E41" i="14" s="1"/>
  <c r="D40" i="14"/>
  <c r="E40" i="14" s="1"/>
  <c r="D39" i="14"/>
  <c r="D105" i="14" s="1"/>
  <c r="D37" i="14"/>
  <c r="E37" i="14" s="1"/>
  <c r="D36" i="14"/>
  <c r="E36" i="14" s="1"/>
  <c r="E35" i="14"/>
  <c r="D35" i="14"/>
  <c r="D34" i="14"/>
  <c r="E34" i="14" s="1"/>
  <c r="D33" i="14"/>
  <c r="E33" i="14" s="1"/>
  <c r="D32" i="14"/>
  <c r="E32" i="14" s="1"/>
  <c r="E31" i="14"/>
  <c r="D31" i="14"/>
  <c r="D30" i="14"/>
  <c r="E30" i="14" s="1"/>
  <c r="D29" i="14"/>
  <c r="E29" i="14" s="1"/>
  <c r="D28" i="14"/>
  <c r="E28" i="14" s="1"/>
  <c r="D27" i="14"/>
  <c r="E27" i="14" s="1"/>
  <c r="D26" i="14"/>
  <c r="E26" i="14" s="1"/>
  <c r="D25" i="14"/>
  <c r="E25" i="14" s="1"/>
  <c r="D24" i="14"/>
  <c r="E24" i="14" s="1"/>
  <c r="E23" i="14"/>
  <c r="D23" i="14"/>
  <c r="D22" i="14"/>
  <c r="D38" i="14" s="1"/>
  <c r="D20" i="14"/>
  <c r="E20" i="14" s="1"/>
  <c r="D19" i="14"/>
  <c r="E19" i="14" s="1"/>
  <c r="D18" i="14"/>
  <c r="E18" i="14" s="1"/>
  <c r="D17" i="14"/>
  <c r="E17" i="14" s="1"/>
  <c r="D15" i="14"/>
  <c r="E15" i="14" s="1"/>
  <c r="D14" i="14"/>
  <c r="E14" i="14" s="1"/>
  <c r="D13" i="14"/>
  <c r="E13" i="14" s="1"/>
  <c r="D12" i="14"/>
  <c r="E12" i="14" s="1"/>
  <c r="D11" i="14"/>
  <c r="E11" i="14" s="1"/>
  <c r="D10" i="14"/>
  <c r="E10" i="14" s="1"/>
  <c r="D9" i="14"/>
  <c r="E9" i="14" s="1"/>
  <c r="D8" i="14"/>
  <c r="E8" i="14" s="1"/>
  <c r="D7" i="14"/>
  <c r="E7" i="14" s="1"/>
  <c r="D6" i="14"/>
  <c r="E6" i="14" s="1"/>
  <c r="D5" i="14"/>
  <c r="E5" i="14" s="1"/>
  <c r="E21" i="14" s="1"/>
  <c r="L77" i="15" l="1"/>
  <c r="M76" i="15"/>
  <c r="J91" i="39"/>
  <c r="I93" i="39"/>
  <c r="J93" i="39" s="1"/>
  <c r="K80" i="18"/>
  <c r="L79" i="18"/>
  <c r="J74" i="17"/>
  <c r="K73" i="17"/>
  <c r="J60" i="22"/>
  <c r="K60" i="22" s="1"/>
  <c r="J61" i="32"/>
  <c r="K61" i="32" s="1"/>
  <c r="J68" i="33"/>
  <c r="K68" i="33" s="1"/>
  <c r="K62" i="31"/>
  <c r="L62" i="31" s="1"/>
  <c r="K56" i="20"/>
  <c r="H62" i="33"/>
  <c r="I60" i="33"/>
  <c r="H65" i="33"/>
  <c r="I63" i="33"/>
  <c r="I29" i="19"/>
  <c r="F99" i="15"/>
  <c r="G18" i="9" s="1"/>
  <c r="J85" i="37"/>
  <c r="K84" i="37"/>
  <c r="N84" i="37"/>
  <c r="H74" i="34"/>
  <c r="H76" i="34" s="1"/>
  <c r="H75" i="34"/>
  <c r="H35" i="20"/>
  <c r="H36" i="20" s="1"/>
  <c r="I34" i="20"/>
  <c r="H34" i="22"/>
  <c r="I33" i="22"/>
  <c r="H36" i="13"/>
  <c r="J35" i="13"/>
  <c r="D21" i="14"/>
  <c r="D106" i="14" s="1"/>
  <c r="E22" i="14"/>
  <c r="E38" i="14" s="1"/>
  <c r="E39" i="14"/>
  <c r="E105" i="14" s="1"/>
  <c r="E106" i="14" s="1"/>
  <c r="L78" i="15" l="1"/>
  <c r="M77" i="15"/>
  <c r="K81" i="18"/>
  <c r="L80" i="18"/>
  <c r="J75" i="17"/>
  <c r="K74" i="17"/>
  <c r="K63" i="31"/>
  <c r="L63" i="31" s="1"/>
  <c r="J69" i="33"/>
  <c r="K69" i="33" s="1"/>
  <c r="J62" i="32"/>
  <c r="K62" i="32" s="1"/>
  <c r="J57" i="20"/>
  <c r="K57" i="20" s="1"/>
  <c r="J61" i="22"/>
  <c r="K61" i="22" s="1"/>
  <c r="I62" i="33"/>
  <c r="H64" i="33"/>
  <c r="H67" i="33"/>
  <c r="I65" i="33"/>
  <c r="I30" i="19"/>
  <c r="J86" i="37"/>
  <c r="K85" i="37"/>
  <c r="N85" i="37"/>
  <c r="H77" i="34"/>
  <c r="H78" i="34"/>
  <c r="H37" i="20"/>
  <c r="I36" i="20"/>
  <c r="H35" i="22"/>
  <c r="I34" i="22"/>
  <c r="H37" i="13"/>
  <c r="J36" i="13"/>
  <c r="F6" i="13"/>
  <c r="L6" i="13" s="1"/>
  <c r="F7" i="13"/>
  <c r="L7" i="13" s="1"/>
  <c r="F8" i="13"/>
  <c r="L8" i="13" s="1"/>
  <c r="F10" i="13"/>
  <c r="L10" i="13" s="1"/>
  <c r="F11" i="13"/>
  <c r="L11" i="13" s="1"/>
  <c r="F12" i="13"/>
  <c r="L12" i="13" s="1"/>
  <c r="F13" i="13"/>
  <c r="L13" i="13" s="1"/>
  <c r="F14" i="13"/>
  <c r="L14" i="13" s="1"/>
  <c r="F15" i="13"/>
  <c r="L15" i="13" s="1"/>
  <c r="F16" i="13"/>
  <c r="L16" i="13" s="1"/>
  <c r="F17" i="13"/>
  <c r="L17" i="13" s="1"/>
  <c r="F18" i="13"/>
  <c r="L18" i="13" s="1"/>
  <c r="F19" i="13"/>
  <c r="L19" i="13" s="1"/>
  <c r="F20" i="13"/>
  <c r="L20" i="13" s="1"/>
  <c r="F21" i="13"/>
  <c r="L21" i="13" s="1"/>
  <c r="F22" i="13"/>
  <c r="L22" i="13" s="1"/>
  <c r="F23" i="13"/>
  <c r="L23" i="13" s="1"/>
  <c r="F24" i="13"/>
  <c r="L24" i="13" s="1"/>
  <c r="F25" i="13"/>
  <c r="L25" i="13" s="1"/>
  <c r="F27" i="13"/>
  <c r="L27" i="13" s="1"/>
  <c r="F28" i="13"/>
  <c r="L28" i="13" s="1"/>
  <c r="F29" i="13"/>
  <c r="L29" i="13" s="1"/>
  <c r="F30" i="13"/>
  <c r="L30" i="13" s="1"/>
  <c r="F31" i="13"/>
  <c r="L31" i="13" s="1"/>
  <c r="F33" i="13"/>
  <c r="L33" i="13" s="1"/>
  <c r="F34" i="13"/>
  <c r="L34" i="13" s="1"/>
  <c r="F35" i="13"/>
  <c r="L35" i="13" s="1"/>
  <c r="F36" i="13"/>
  <c r="L36" i="13" s="1"/>
  <c r="F37" i="13"/>
  <c r="L37" i="13" s="1"/>
  <c r="F38" i="13"/>
  <c r="L38" i="13" s="1"/>
  <c r="F39" i="13"/>
  <c r="L39" i="13" s="1"/>
  <c r="F40" i="13"/>
  <c r="L40" i="13" s="1"/>
  <c r="F41" i="13"/>
  <c r="L41" i="13" s="1"/>
  <c r="F42" i="13"/>
  <c r="L42" i="13" s="1"/>
  <c r="F43" i="13"/>
  <c r="L43" i="13" s="1"/>
  <c r="F44" i="13"/>
  <c r="L44" i="13" s="1"/>
  <c r="F45" i="13"/>
  <c r="L45" i="13" s="1"/>
  <c r="F47" i="13"/>
  <c r="L47" i="13" s="1"/>
  <c r="F48" i="13"/>
  <c r="L48" i="13" s="1"/>
  <c r="F49" i="13"/>
  <c r="L49" i="13" s="1"/>
  <c r="F50" i="13"/>
  <c r="L50" i="13" s="1"/>
  <c r="F51" i="13"/>
  <c r="L51" i="13" s="1"/>
  <c r="F52" i="13"/>
  <c r="L52" i="13" s="1"/>
  <c r="F53" i="13"/>
  <c r="L53" i="13" s="1"/>
  <c r="F54" i="13"/>
  <c r="L54" i="13" s="1"/>
  <c r="F57" i="13"/>
  <c r="L57" i="13" s="1"/>
  <c r="F58" i="13"/>
  <c r="L58" i="13" s="1"/>
  <c r="F59" i="13"/>
  <c r="L59" i="13" s="1"/>
  <c r="F60" i="13"/>
  <c r="L60" i="13" s="1"/>
  <c r="F61" i="13"/>
  <c r="L61" i="13" s="1"/>
  <c r="F62" i="13"/>
  <c r="L62" i="13" s="1"/>
  <c r="F64" i="13"/>
  <c r="L64" i="13" s="1"/>
  <c r="F65" i="13"/>
  <c r="L65" i="13" s="1"/>
  <c r="F66" i="13"/>
  <c r="L66" i="13" s="1"/>
  <c r="F67" i="13"/>
  <c r="L67" i="13" s="1"/>
  <c r="F68" i="13"/>
  <c r="L68" i="13" s="1"/>
  <c r="F71" i="13"/>
  <c r="L71" i="13" s="1"/>
  <c r="F72" i="13"/>
  <c r="L72" i="13" s="1"/>
  <c r="F73" i="13"/>
  <c r="L73" i="13" s="1"/>
  <c r="F74" i="13"/>
  <c r="L74" i="13" s="1"/>
  <c r="F75" i="13"/>
  <c r="L75" i="13" s="1"/>
  <c r="F76" i="13"/>
  <c r="L76" i="13" s="1"/>
  <c r="F77" i="13"/>
  <c r="L77" i="13" s="1"/>
  <c r="F78" i="13"/>
  <c r="L78" i="13" s="1"/>
  <c r="F79" i="13"/>
  <c r="L79" i="13" s="1"/>
  <c r="F80" i="13"/>
  <c r="L80" i="13" s="1"/>
  <c r="F81" i="13"/>
  <c r="L81" i="13" s="1"/>
  <c r="F82" i="13"/>
  <c r="L82" i="13" s="1"/>
  <c r="F84" i="13"/>
  <c r="L84" i="13" s="1"/>
  <c r="F85" i="13"/>
  <c r="L85" i="13" s="1"/>
  <c r="F86" i="13"/>
  <c r="L86" i="13" s="1"/>
  <c r="F87" i="13"/>
  <c r="L87" i="13" s="1"/>
  <c r="F88" i="13"/>
  <c r="L88" i="13" s="1"/>
  <c r="F89" i="13"/>
  <c r="L89" i="13" s="1"/>
  <c r="F90" i="13"/>
  <c r="L90" i="13" s="1"/>
  <c r="F91" i="13"/>
  <c r="L91" i="13" s="1"/>
  <c r="F93" i="13"/>
  <c r="L93" i="13" s="1"/>
  <c r="F95" i="13"/>
  <c r="L95" i="13" s="1"/>
  <c r="F96" i="13"/>
  <c r="L96" i="13" s="1"/>
  <c r="F97" i="13"/>
  <c r="L97" i="13" s="1"/>
  <c r="F98" i="13"/>
  <c r="L98" i="13" s="1"/>
  <c r="F99" i="13"/>
  <c r="L99" i="13" s="1"/>
  <c r="F100" i="13"/>
  <c r="L100" i="13" s="1"/>
  <c r="F101" i="13"/>
  <c r="L101" i="13" s="1"/>
  <c r="F103" i="13"/>
  <c r="L103" i="13" s="1"/>
  <c r="F104" i="13"/>
  <c r="L104" i="13" s="1"/>
  <c r="F105" i="13"/>
  <c r="L105" i="13" s="1"/>
  <c r="F106" i="13"/>
  <c r="L106" i="13" s="1"/>
  <c r="F110" i="13"/>
  <c r="L110" i="13" s="1"/>
  <c r="F111" i="13"/>
  <c r="L111" i="13" s="1"/>
  <c r="F112" i="13"/>
  <c r="L112" i="13" s="1"/>
  <c r="F5" i="13"/>
  <c r="L5" i="13" s="1"/>
  <c r="D114" i="13"/>
  <c r="E113" i="13"/>
  <c r="E109" i="13"/>
  <c r="E108" i="13"/>
  <c r="E107" i="13"/>
  <c r="E102" i="13"/>
  <c r="E94" i="13"/>
  <c r="F94" i="13" s="1"/>
  <c r="L94" i="13" s="1"/>
  <c r="E92" i="13"/>
  <c r="F92" i="13" s="1"/>
  <c r="L92" i="13" s="1"/>
  <c r="E83" i="13"/>
  <c r="E70" i="13"/>
  <c r="F70" i="13" s="1"/>
  <c r="L70" i="13" s="1"/>
  <c r="E69" i="13"/>
  <c r="E63" i="13"/>
  <c r="E56" i="13"/>
  <c r="E55" i="13"/>
  <c r="E46" i="13"/>
  <c r="E32" i="13"/>
  <c r="E26" i="13"/>
  <c r="C9" i="13"/>
  <c r="G9" i="13" s="1"/>
  <c r="G114" i="13" s="1"/>
  <c r="D100" i="12"/>
  <c r="D36" i="12"/>
  <c r="G36" i="12" s="1"/>
  <c r="D20" i="12"/>
  <c r="G20" i="12" s="1"/>
  <c r="E99" i="12"/>
  <c r="E98" i="12"/>
  <c r="E97" i="12"/>
  <c r="E96" i="12"/>
  <c r="E95" i="12"/>
  <c r="E94" i="12"/>
  <c r="E93" i="12"/>
  <c r="E92" i="12"/>
  <c r="E91" i="12"/>
  <c r="E90" i="12"/>
  <c r="E89" i="12"/>
  <c r="E88" i="12"/>
  <c r="E87" i="12"/>
  <c r="E86" i="12"/>
  <c r="E85" i="12"/>
  <c r="E84" i="12"/>
  <c r="E83" i="12"/>
  <c r="E82" i="12"/>
  <c r="E81" i="12"/>
  <c r="E80" i="12"/>
  <c r="E79" i="12"/>
  <c r="E78" i="12"/>
  <c r="E77" i="12"/>
  <c r="E76" i="12"/>
  <c r="E75" i="12"/>
  <c r="E74" i="12"/>
  <c r="E73" i="12"/>
  <c r="E72" i="12"/>
  <c r="E71" i="12"/>
  <c r="E70" i="12"/>
  <c r="E69" i="12"/>
  <c r="E68" i="12"/>
  <c r="E67" i="12"/>
  <c r="E66" i="12"/>
  <c r="E65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L79" i="15" l="1"/>
  <c r="M78" i="15"/>
  <c r="K82" i="18"/>
  <c r="L81" i="18"/>
  <c r="J76" i="17"/>
  <c r="K75" i="17"/>
  <c r="J63" i="32"/>
  <c r="K63" i="32" s="1"/>
  <c r="J58" i="20"/>
  <c r="K58" i="20" s="1"/>
  <c r="J70" i="33"/>
  <c r="K70" i="33" s="1"/>
  <c r="J62" i="22"/>
  <c r="K62" i="22" s="1"/>
  <c r="K64" i="31"/>
  <c r="L64" i="31" s="1"/>
  <c r="H66" i="33"/>
  <c r="I64" i="33"/>
  <c r="H69" i="33"/>
  <c r="I67" i="33"/>
  <c r="I31" i="19"/>
  <c r="J30" i="19"/>
  <c r="C114" i="13"/>
  <c r="J87" i="37"/>
  <c r="K86" i="37"/>
  <c r="N86" i="37"/>
  <c r="H80" i="34"/>
  <c r="H79" i="34"/>
  <c r="H38" i="20"/>
  <c r="I37" i="20"/>
  <c r="H36" i="22"/>
  <c r="I35" i="22"/>
  <c r="F46" i="13"/>
  <c r="L46" i="13" s="1"/>
  <c r="F63" i="13"/>
  <c r="L63" i="13" s="1"/>
  <c r="F107" i="13"/>
  <c r="L107" i="13" s="1"/>
  <c r="F108" i="13"/>
  <c r="L108" i="13" s="1"/>
  <c r="F69" i="13"/>
  <c r="L69" i="13" s="1"/>
  <c r="F26" i="13"/>
  <c r="L26" i="13" s="1"/>
  <c r="F109" i="13"/>
  <c r="L109" i="13" s="1"/>
  <c r="F32" i="13"/>
  <c r="L32" i="13" s="1"/>
  <c r="F83" i="13"/>
  <c r="L83" i="13" s="1"/>
  <c r="F113" i="13"/>
  <c r="L113" i="13" s="1"/>
  <c r="F55" i="13"/>
  <c r="L55" i="13" s="1"/>
  <c r="F56" i="13"/>
  <c r="L56" i="13" s="1"/>
  <c r="F102" i="13"/>
  <c r="L102" i="13" s="1"/>
  <c r="F9" i="12"/>
  <c r="L9" i="12" s="1"/>
  <c r="F41" i="12"/>
  <c r="L41" i="12" s="1"/>
  <c r="F72" i="12"/>
  <c r="L72" i="12" s="1"/>
  <c r="F99" i="12"/>
  <c r="L99" i="12" s="1"/>
  <c r="F18" i="12"/>
  <c r="L18" i="12" s="1"/>
  <c r="F49" i="12"/>
  <c r="L49" i="12" s="1"/>
  <c r="F93" i="12"/>
  <c r="L93" i="12" s="1"/>
  <c r="F43" i="12"/>
  <c r="L43" i="12" s="1"/>
  <c r="F21" i="12"/>
  <c r="L21" i="12" s="1"/>
  <c r="F27" i="12"/>
  <c r="L27" i="12" s="1"/>
  <c r="F35" i="12"/>
  <c r="L35" i="12" s="1"/>
  <c r="F44" i="12"/>
  <c r="L44" i="12" s="1"/>
  <c r="F51" i="12"/>
  <c r="L51" i="12" s="1"/>
  <c r="F59" i="12"/>
  <c r="L59" i="12" s="1"/>
  <c r="F67" i="12"/>
  <c r="L67" i="12" s="1"/>
  <c r="F74" i="12"/>
  <c r="L74" i="12" s="1"/>
  <c r="F82" i="12"/>
  <c r="L82" i="12" s="1"/>
  <c r="F88" i="12"/>
  <c r="L88" i="12" s="1"/>
  <c r="F95" i="12"/>
  <c r="L95" i="12" s="1"/>
  <c r="F17" i="12"/>
  <c r="L17" i="12" s="1"/>
  <c r="F92" i="12"/>
  <c r="L92" i="12" s="1"/>
  <c r="F33" i="12"/>
  <c r="L33" i="12" s="1"/>
  <c r="F65" i="12"/>
  <c r="L65" i="12" s="1"/>
  <c r="F19" i="12"/>
  <c r="L19" i="12" s="1"/>
  <c r="F50" i="12"/>
  <c r="L50" i="12" s="1"/>
  <c r="F81" i="12"/>
  <c r="L81" i="12" s="1"/>
  <c r="F45" i="12"/>
  <c r="L45" i="12" s="1"/>
  <c r="F52" i="12"/>
  <c r="L52" i="12" s="1"/>
  <c r="F60" i="12"/>
  <c r="L60" i="12" s="1"/>
  <c r="F68" i="12"/>
  <c r="L68" i="12" s="1"/>
  <c r="F75" i="12"/>
  <c r="L75" i="12" s="1"/>
  <c r="F83" i="12"/>
  <c r="L83" i="12" s="1"/>
  <c r="F89" i="12"/>
  <c r="L89" i="12" s="1"/>
  <c r="F24" i="12"/>
  <c r="L24" i="12" s="1"/>
  <c r="F56" i="12"/>
  <c r="L56" i="12" s="1"/>
  <c r="F79" i="12"/>
  <c r="L79" i="12" s="1"/>
  <c r="F10" i="12"/>
  <c r="L10" i="12" s="1"/>
  <c r="F42" i="12"/>
  <c r="L42" i="12" s="1"/>
  <c r="F80" i="12"/>
  <c r="L80" i="12" s="1"/>
  <c r="F11" i="12"/>
  <c r="L11" i="12" s="1"/>
  <c r="F34" i="12"/>
  <c r="L34" i="12" s="1"/>
  <c r="F66" i="12"/>
  <c r="L66" i="12" s="1"/>
  <c r="F94" i="12"/>
  <c r="L94" i="12" s="1"/>
  <c r="F5" i="12"/>
  <c r="L5" i="12" s="1"/>
  <c r="F6" i="12"/>
  <c r="L6" i="12" s="1"/>
  <c r="F14" i="12"/>
  <c r="L14" i="12" s="1"/>
  <c r="F29" i="12"/>
  <c r="L29" i="12" s="1"/>
  <c r="F38" i="12"/>
  <c r="L38" i="12" s="1"/>
  <c r="F46" i="12"/>
  <c r="L46" i="12" s="1"/>
  <c r="F53" i="12"/>
  <c r="L53" i="12" s="1"/>
  <c r="F61" i="12"/>
  <c r="L61" i="12" s="1"/>
  <c r="F69" i="12"/>
  <c r="L69" i="12" s="1"/>
  <c r="F76" i="12"/>
  <c r="L76" i="12" s="1"/>
  <c r="F84" i="12"/>
  <c r="L84" i="12" s="1"/>
  <c r="F90" i="12"/>
  <c r="L90" i="12" s="1"/>
  <c r="F96" i="12"/>
  <c r="L96" i="12" s="1"/>
  <c r="F12" i="12"/>
  <c r="L12" i="12" s="1"/>
  <c r="F13" i="12"/>
  <c r="L13" i="12" s="1"/>
  <c r="F28" i="12"/>
  <c r="L28" i="12" s="1"/>
  <c r="F7" i="12"/>
  <c r="L7" i="12" s="1"/>
  <c r="F15" i="12"/>
  <c r="L15" i="12" s="1"/>
  <c r="F22" i="12"/>
  <c r="L22" i="12" s="1"/>
  <c r="F30" i="12"/>
  <c r="L30" i="12" s="1"/>
  <c r="F39" i="12"/>
  <c r="L39" i="12" s="1"/>
  <c r="F47" i="12"/>
  <c r="L47" i="12" s="1"/>
  <c r="F54" i="12"/>
  <c r="L54" i="12" s="1"/>
  <c r="F62" i="12"/>
  <c r="L62" i="12" s="1"/>
  <c r="F70" i="12"/>
  <c r="L70" i="12" s="1"/>
  <c r="F77" i="12"/>
  <c r="L77" i="12" s="1"/>
  <c r="F91" i="12"/>
  <c r="L91" i="12" s="1"/>
  <c r="F97" i="12"/>
  <c r="L97" i="12" s="1"/>
  <c r="F32" i="12"/>
  <c r="L32" i="12" s="1"/>
  <c r="F64" i="12"/>
  <c r="L64" i="12" s="1"/>
  <c r="F86" i="12"/>
  <c r="L86" i="12" s="1"/>
  <c r="F25" i="12"/>
  <c r="L25" i="12" s="1"/>
  <c r="F57" i="12"/>
  <c r="L57" i="12" s="1"/>
  <c r="F26" i="12"/>
  <c r="L26" i="12" s="1"/>
  <c r="F58" i="12"/>
  <c r="L58" i="12" s="1"/>
  <c r="F73" i="12"/>
  <c r="L73" i="12" s="1"/>
  <c r="F87" i="12"/>
  <c r="L87" i="12" s="1"/>
  <c r="F8" i="12"/>
  <c r="L8" i="12" s="1"/>
  <c r="F16" i="12"/>
  <c r="L16" i="12" s="1"/>
  <c r="F23" i="12"/>
  <c r="L23" i="12" s="1"/>
  <c r="F31" i="12"/>
  <c r="L31" i="12" s="1"/>
  <c r="F40" i="12"/>
  <c r="L40" i="12" s="1"/>
  <c r="F48" i="12"/>
  <c r="L48" i="12" s="1"/>
  <c r="F55" i="12"/>
  <c r="L55" i="12" s="1"/>
  <c r="F63" i="12"/>
  <c r="L63" i="12" s="1"/>
  <c r="F71" i="12"/>
  <c r="L71" i="12" s="1"/>
  <c r="F78" i="12"/>
  <c r="L78" i="12" s="1"/>
  <c r="F85" i="12"/>
  <c r="L85" i="12" s="1"/>
  <c r="F98" i="12"/>
  <c r="L98" i="12" s="1"/>
  <c r="D101" i="12"/>
  <c r="G101" i="12" s="1"/>
  <c r="G100" i="12"/>
  <c r="J37" i="13"/>
  <c r="H38" i="13"/>
  <c r="F9" i="13"/>
  <c r="L9" i="13" s="1"/>
  <c r="E100" i="12"/>
  <c r="E114" i="13"/>
  <c r="E36" i="12"/>
  <c r="F37" i="12"/>
  <c r="L37" i="12" s="1"/>
  <c r="E20" i="12"/>
  <c r="L80" i="15" l="1"/>
  <c r="M79" i="15"/>
  <c r="L100" i="12"/>
  <c r="L36" i="12"/>
  <c r="L20" i="12"/>
  <c r="K83" i="18"/>
  <c r="L82" i="18"/>
  <c r="K76" i="17"/>
  <c r="L114" i="13"/>
  <c r="J63" i="22"/>
  <c r="K63" i="22" s="1"/>
  <c r="J71" i="33"/>
  <c r="K71" i="33" s="1"/>
  <c r="J59" i="20"/>
  <c r="K59" i="20" s="1"/>
  <c r="J64" i="32"/>
  <c r="K64" i="32" s="1"/>
  <c r="K65" i="31"/>
  <c r="L65" i="31" s="1"/>
  <c r="H68" i="33"/>
  <c r="I66" i="33"/>
  <c r="H71" i="33"/>
  <c r="I69" i="33"/>
  <c r="I32" i="19"/>
  <c r="J31" i="19"/>
  <c r="G70" i="9"/>
  <c r="G80" i="9" s="1"/>
  <c r="G82" i="9" s="1"/>
  <c r="J88" i="37"/>
  <c r="K87" i="37"/>
  <c r="N87" i="37"/>
  <c r="H81" i="34"/>
  <c r="H82" i="34"/>
  <c r="H39" i="20"/>
  <c r="I38" i="20"/>
  <c r="H37" i="22"/>
  <c r="H38" i="22" s="1"/>
  <c r="H39" i="22" s="1"/>
  <c r="I36" i="22"/>
  <c r="F114" i="13"/>
  <c r="G8" i="9" s="1"/>
  <c r="F20" i="12"/>
  <c r="F36" i="12"/>
  <c r="F100" i="12"/>
  <c r="H39" i="13"/>
  <c r="J38" i="13"/>
  <c r="E101" i="12"/>
  <c r="L81" i="15" l="1"/>
  <c r="M80" i="15"/>
  <c r="L101" i="12"/>
  <c r="K84" i="18"/>
  <c r="L83" i="18"/>
  <c r="F101" i="12"/>
  <c r="G11" i="9" s="1"/>
  <c r="J65" i="32"/>
  <c r="K65" i="32" s="1"/>
  <c r="J60" i="20"/>
  <c r="K60" i="20" s="1"/>
  <c r="J72" i="33"/>
  <c r="K72" i="33" s="1"/>
  <c r="K66" i="31"/>
  <c r="L66" i="31" s="1"/>
  <c r="J64" i="22"/>
  <c r="K64" i="22" s="1"/>
  <c r="H70" i="33"/>
  <c r="I68" i="33"/>
  <c r="H73" i="33"/>
  <c r="I71" i="33"/>
  <c r="I33" i="19"/>
  <c r="J32" i="19"/>
  <c r="J89" i="37"/>
  <c r="K88" i="37"/>
  <c r="N88" i="37"/>
  <c r="H84" i="34"/>
  <c r="I82" i="34"/>
  <c r="H83" i="34"/>
  <c r="H40" i="20"/>
  <c r="I39" i="20"/>
  <c r="H40" i="22"/>
  <c r="I39" i="22"/>
  <c r="H40" i="13"/>
  <c r="J39" i="13"/>
  <c r="M81" i="15" l="1"/>
  <c r="K85" i="18"/>
  <c r="L84" i="18"/>
  <c r="J78" i="17"/>
  <c r="K77" i="17"/>
  <c r="J73" i="33"/>
  <c r="K73" i="33" s="1"/>
  <c r="K67" i="31"/>
  <c r="L67" i="31" s="1"/>
  <c r="J65" i="22"/>
  <c r="K65" i="22" s="1"/>
  <c r="J61" i="20"/>
  <c r="K61" i="20" s="1"/>
  <c r="J66" i="32"/>
  <c r="K66" i="32" s="1"/>
  <c r="H72" i="33"/>
  <c r="I70" i="33"/>
  <c r="H75" i="33"/>
  <c r="I73" i="33"/>
  <c r="I34" i="19"/>
  <c r="J33" i="19"/>
  <c r="J90" i="37"/>
  <c r="K89" i="37"/>
  <c r="N89" i="37"/>
  <c r="I83" i="34"/>
  <c r="H85" i="34"/>
  <c r="I84" i="34"/>
  <c r="H86" i="34"/>
  <c r="I40" i="20"/>
  <c r="H42" i="20"/>
  <c r="H41" i="22"/>
  <c r="I40" i="22"/>
  <c r="J40" i="13"/>
  <c r="H41" i="13"/>
  <c r="K86" i="18" l="1"/>
  <c r="L85" i="18"/>
  <c r="J79" i="17"/>
  <c r="K78" i="17"/>
  <c r="J62" i="20"/>
  <c r="K62" i="20" s="1"/>
  <c r="J66" i="22"/>
  <c r="K66" i="22" s="1"/>
  <c r="K68" i="31"/>
  <c r="L68" i="31" s="1"/>
  <c r="J67" i="32"/>
  <c r="K67" i="32" s="1"/>
  <c r="J74" i="33"/>
  <c r="K74" i="33" s="1"/>
  <c r="H74" i="33"/>
  <c r="H76" i="33" s="1"/>
  <c r="I72" i="33"/>
  <c r="H77" i="33"/>
  <c r="I75" i="33"/>
  <c r="I36" i="19"/>
  <c r="I37" i="19" s="1"/>
  <c r="J34" i="19"/>
  <c r="J91" i="37"/>
  <c r="N90" i="37"/>
  <c r="H88" i="34"/>
  <c r="I86" i="34"/>
  <c r="H87" i="34"/>
  <c r="I85" i="34"/>
  <c r="H35" i="31"/>
  <c r="H36" i="31"/>
  <c r="I36" i="31" s="1"/>
  <c r="I42" i="20"/>
  <c r="H43" i="20"/>
  <c r="H42" i="22"/>
  <c r="I41" i="22"/>
  <c r="H42" i="13"/>
  <c r="J41" i="13"/>
  <c r="L83" i="15" l="1"/>
  <c r="M82" i="15"/>
  <c r="K87" i="18"/>
  <c r="L86" i="18"/>
  <c r="J80" i="17"/>
  <c r="K79" i="17"/>
  <c r="J68" i="32"/>
  <c r="K68" i="32" s="1"/>
  <c r="J63" i="20"/>
  <c r="K63" i="20" s="1"/>
  <c r="K69" i="31"/>
  <c r="L69" i="31" s="1"/>
  <c r="J67" i="22"/>
  <c r="K67" i="22" s="1"/>
  <c r="J75" i="33"/>
  <c r="K75" i="33" s="1"/>
  <c r="H78" i="33"/>
  <c r="I76" i="33"/>
  <c r="H79" i="33"/>
  <c r="I77" i="33"/>
  <c r="I38" i="19"/>
  <c r="J37" i="19"/>
  <c r="J36" i="19"/>
  <c r="J92" i="37"/>
  <c r="K91" i="37"/>
  <c r="N91" i="37"/>
  <c r="I87" i="34"/>
  <c r="H89" i="34"/>
  <c r="I88" i="34"/>
  <c r="H90" i="34"/>
  <c r="H38" i="31"/>
  <c r="I38" i="31" s="1"/>
  <c r="H37" i="31"/>
  <c r="I37" i="31" s="1"/>
  <c r="H44" i="20"/>
  <c r="I43" i="20"/>
  <c r="H43" i="22"/>
  <c r="I42" i="22"/>
  <c r="H43" i="13"/>
  <c r="J42" i="13"/>
  <c r="M83" i="15" l="1"/>
  <c r="K88" i="18"/>
  <c r="K89" i="18" s="1"/>
  <c r="L87" i="18"/>
  <c r="J81" i="17"/>
  <c r="K80" i="17"/>
  <c r="J68" i="22"/>
  <c r="K68" i="22" s="1"/>
  <c r="K70" i="31"/>
  <c r="L70" i="31" s="1"/>
  <c r="J64" i="20"/>
  <c r="K64" i="20" s="1"/>
  <c r="J76" i="33"/>
  <c r="K76" i="33" s="1"/>
  <c r="J69" i="32"/>
  <c r="K69" i="32" s="1"/>
  <c r="H80" i="33"/>
  <c r="I78" i="33"/>
  <c r="I79" i="33"/>
  <c r="H81" i="33"/>
  <c r="I39" i="19"/>
  <c r="J38" i="19"/>
  <c r="J93" i="37"/>
  <c r="K92" i="37"/>
  <c r="N92" i="37"/>
  <c r="H92" i="34"/>
  <c r="H91" i="34"/>
  <c r="I89" i="34"/>
  <c r="H40" i="31"/>
  <c r="I40" i="31" s="1"/>
  <c r="H39" i="31"/>
  <c r="H45" i="20"/>
  <c r="I44" i="20"/>
  <c r="H44" i="22"/>
  <c r="I43" i="22"/>
  <c r="H44" i="13"/>
  <c r="J43" i="13"/>
  <c r="L88" i="18" l="1"/>
  <c r="J82" i="17"/>
  <c r="K81" i="17"/>
  <c r="J77" i="33"/>
  <c r="K77" i="33" s="1"/>
  <c r="J65" i="20"/>
  <c r="K65" i="20" s="1"/>
  <c r="K71" i="31"/>
  <c r="L71" i="31" s="1"/>
  <c r="J70" i="32"/>
  <c r="K70" i="32" s="1"/>
  <c r="J69" i="22"/>
  <c r="I81" i="33"/>
  <c r="H83" i="33"/>
  <c r="H82" i="33"/>
  <c r="I80" i="33"/>
  <c r="I40" i="19"/>
  <c r="J39" i="19"/>
  <c r="J94" i="37"/>
  <c r="K93" i="37"/>
  <c r="N93" i="37"/>
  <c r="H93" i="34"/>
  <c r="I92" i="34"/>
  <c r="H41" i="31"/>
  <c r="H42" i="31"/>
  <c r="I42" i="31" s="1"/>
  <c r="H46" i="20"/>
  <c r="I45" i="20"/>
  <c r="H45" i="22"/>
  <c r="I44" i="22"/>
  <c r="H45" i="13"/>
  <c r="J44" i="13"/>
  <c r="K69" i="22" l="1"/>
  <c r="J70" i="22"/>
  <c r="L85" i="15"/>
  <c r="M84" i="15"/>
  <c r="J83" i="17"/>
  <c r="K82" i="17"/>
  <c r="J71" i="32"/>
  <c r="K71" i="32" s="1"/>
  <c r="K72" i="31"/>
  <c r="L72" i="31" s="1"/>
  <c r="J66" i="20"/>
  <c r="K66" i="20" s="1"/>
  <c r="J78" i="33"/>
  <c r="K78" i="33" s="1"/>
  <c r="H84" i="33"/>
  <c r="I82" i="33"/>
  <c r="H85" i="33"/>
  <c r="I83" i="33"/>
  <c r="I41" i="19"/>
  <c r="J40" i="19"/>
  <c r="J95" i="37"/>
  <c r="K94" i="37"/>
  <c r="N94" i="37"/>
  <c r="H94" i="34"/>
  <c r="I93" i="34"/>
  <c r="H95" i="34"/>
  <c r="H43" i="31"/>
  <c r="I43" i="31" s="1"/>
  <c r="H44" i="31"/>
  <c r="I44" i="31" s="1"/>
  <c r="H47" i="20"/>
  <c r="I46" i="20"/>
  <c r="H46" i="22"/>
  <c r="I45" i="22"/>
  <c r="J45" i="13"/>
  <c r="H47" i="13"/>
  <c r="L86" i="15" l="1"/>
  <c r="M85" i="15"/>
  <c r="K90" i="18"/>
  <c r="K91" i="18" s="1"/>
  <c r="L89" i="18"/>
  <c r="J84" i="17"/>
  <c r="K83" i="17"/>
  <c r="K73" i="31"/>
  <c r="J67" i="20"/>
  <c r="K67" i="20" s="1"/>
  <c r="J72" i="32"/>
  <c r="K72" i="32" s="1"/>
  <c r="J79" i="33"/>
  <c r="K79" i="33" s="1"/>
  <c r="I84" i="33"/>
  <c r="H86" i="33"/>
  <c r="I85" i="33"/>
  <c r="I42" i="19"/>
  <c r="J41" i="19"/>
  <c r="J96" i="37"/>
  <c r="K95" i="37"/>
  <c r="N95" i="37"/>
  <c r="H97" i="34"/>
  <c r="I94" i="34"/>
  <c r="H96" i="34"/>
  <c r="H45" i="31"/>
  <c r="H46" i="31"/>
  <c r="I46" i="31" s="1"/>
  <c r="H48" i="20"/>
  <c r="I47" i="20"/>
  <c r="H47" i="22"/>
  <c r="I46" i="22"/>
  <c r="H48" i="13"/>
  <c r="J47" i="13"/>
  <c r="L73" i="31" l="1"/>
  <c r="K74" i="31"/>
  <c r="L87" i="15"/>
  <c r="M86" i="15"/>
  <c r="L90" i="18"/>
  <c r="J85" i="17"/>
  <c r="K84" i="17"/>
  <c r="J80" i="33"/>
  <c r="K80" i="33" s="1"/>
  <c r="J73" i="32"/>
  <c r="K73" i="32" s="1"/>
  <c r="J68" i="20"/>
  <c r="K68" i="20" s="1"/>
  <c r="K70" i="22"/>
  <c r="H87" i="33"/>
  <c r="H88" i="33"/>
  <c r="I86" i="33"/>
  <c r="I43" i="19"/>
  <c r="J42" i="19"/>
  <c r="J97" i="37"/>
  <c r="K96" i="37"/>
  <c r="N96" i="37"/>
  <c r="H98" i="34"/>
  <c r="H47" i="31"/>
  <c r="I47" i="31" s="1"/>
  <c r="H49" i="20"/>
  <c r="I48" i="20"/>
  <c r="H48" i="22"/>
  <c r="I47" i="22"/>
  <c r="J48" i="13"/>
  <c r="H49" i="13"/>
  <c r="L88" i="15" l="1"/>
  <c r="M87" i="15"/>
  <c r="J86" i="17"/>
  <c r="K85" i="17"/>
  <c r="J69" i="20"/>
  <c r="K69" i="20" s="1"/>
  <c r="J74" i="32"/>
  <c r="K74" i="32" s="1"/>
  <c r="J71" i="22"/>
  <c r="K71" i="22" s="1"/>
  <c r="L74" i="31"/>
  <c r="J81" i="33"/>
  <c r="K81" i="33" s="1"/>
  <c r="H89" i="33"/>
  <c r="I87" i="33"/>
  <c r="H90" i="33"/>
  <c r="I88" i="33"/>
  <c r="H99" i="33"/>
  <c r="I44" i="19"/>
  <c r="J43" i="19"/>
  <c r="J98" i="37"/>
  <c r="K97" i="37"/>
  <c r="N97" i="37"/>
  <c r="I98" i="34"/>
  <c r="H48" i="31"/>
  <c r="I48" i="31" s="1"/>
  <c r="H49" i="31"/>
  <c r="I49" i="31" s="1"/>
  <c r="H50" i="20"/>
  <c r="I49" i="20"/>
  <c r="H49" i="22"/>
  <c r="I48" i="22"/>
  <c r="J49" i="13"/>
  <c r="H50" i="13"/>
  <c r="M88" i="15" l="1"/>
  <c r="K92" i="18"/>
  <c r="L91" i="18"/>
  <c r="J87" i="17"/>
  <c r="K86" i="17"/>
  <c r="K75" i="31"/>
  <c r="L75" i="31" s="1"/>
  <c r="J72" i="22"/>
  <c r="K72" i="22" s="1"/>
  <c r="J75" i="32"/>
  <c r="K75" i="32" s="1"/>
  <c r="J70" i="20"/>
  <c r="K70" i="20" s="1"/>
  <c r="J82" i="33"/>
  <c r="K82" i="33" s="1"/>
  <c r="I89" i="33"/>
  <c r="H91" i="33"/>
  <c r="H101" i="33"/>
  <c r="I101" i="33" s="1"/>
  <c r="I99" i="33"/>
  <c r="I90" i="33"/>
  <c r="I45" i="19"/>
  <c r="J44" i="19"/>
  <c r="K98" i="37"/>
  <c r="N98" i="37"/>
  <c r="H51" i="31"/>
  <c r="I51" i="31" s="1"/>
  <c r="H50" i="31"/>
  <c r="I50" i="31" s="1"/>
  <c r="H51" i="20"/>
  <c r="I50" i="20"/>
  <c r="I49" i="22"/>
  <c r="H51" i="22"/>
  <c r="J50" i="13"/>
  <c r="H51" i="13"/>
  <c r="K93" i="18" l="1"/>
  <c r="L92" i="18"/>
  <c r="J88" i="17"/>
  <c r="K87" i="17"/>
  <c r="J76" i="32"/>
  <c r="K76" i="32" s="1"/>
  <c r="J71" i="20"/>
  <c r="K71" i="20" s="1"/>
  <c r="J73" i="22"/>
  <c r="K73" i="22" s="1"/>
  <c r="J83" i="33"/>
  <c r="K83" i="33" s="1"/>
  <c r="K76" i="31"/>
  <c r="L76" i="31" s="1"/>
  <c r="I91" i="33"/>
  <c r="H92" i="33"/>
  <c r="H93" i="33"/>
  <c r="I46" i="19"/>
  <c r="J45" i="19"/>
  <c r="J99" i="37"/>
  <c r="H52" i="31"/>
  <c r="I52" i="31" s="1"/>
  <c r="H53" i="31"/>
  <c r="I53" i="31" s="1"/>
  <c r="H52" i="20"/>
  <c r="I51" i="20"/>
  <c r="H53" i="22"/>
  <c r="I51" i="22"/>
  <c r="H52" i="22"/>
  <c r="H52" i="13"/>
  <c r="J51" i="13"/>
  <c r="L90" i="15" l="1"/>
  <c r="M89" i="15"/>
  <c r="K94" i="18"/>
  <c r="L93" i="18"/>
  <c r="J89" i="17"/>
  <c r="K88" i="17"/>
  <c r="J74" i="22"/>
  <c r="K74" i="22" s="1"/>
  <c r="J72" i="20"/>
  <c r="K72" i="20" s="1"/>
  <c r="J84" i="33"/>
  <c r="K84" i="33" s="1"/>
  <c r="J77" i="32"/>
  <c r="K77" i="32" s="1"/>
  <c r="K77" i="31"/>
  <c r="L77" i="31" s="1"/>
  <c r="I92" i="33"/>
  <c r="H94" i="33"/>
  <c r="I93" i="33"/>
  <c r="H95" i="33"/>
  <c r="I47" i="19"/>
  <c r="J46" i="19"/>
  <c r="K99" i="37"/>
  <c r="J100" i="37"/>
  <c r="N99" i="37"/>
  <c r="H55" i="31"/>
  <c r="I55" i="31" s="1"/>
  <c r="H54" i="31"/>
  <c r="H53" i="20"/>
  <c r="I52" i="20"/>
  <c r="H54" i="22"/>
  <c r="I52" i="22"/>
  <c r="H55" i="22"/>
  <c r="I53" i="22"/>
  <c r="H53" i="13"/>
  <c r="J52" i="13"/>
  <c r="L91" i="15" l="1"/>
  <c r="M90" i="15"/>
  <c r="K95" i="18"/>
  <c r="L94" i="18"/>
  <c r="J90" i="17"/>
  <c r="K89" i="17"/>
  <c r="J78" i="32"/>
  <c r="K78" i="32" s="1"/>
  <c r="J85" i="33"/>
  <c r="J73" i="20"/>
  <c r="K73" i="20" s="1"/>
  <c r="K78" i="31"/>
  <c r="L78" i="31" s="1"/>
  <c r="J75" i="22"/>
  <c r="K75" i="22" s="1"/>
  <c r="I95" i="33"/>
  <c r="I94" i="33"/>
  <c r="H96" i="33"/>
  <c r="I48" i="19"/>
  <c r="J47" i="19"/>
  <c r="J101" i="37"/>
  <c r="N100" i="37"/>
  <c r="H56" i="31"/>
  <c r="I56" i="31" s="1"/>
  <c r="H57" i="31"/>
  <c r="I57" i="31" s="1"/>
  <c r="H54" i="20"/>
  <c r="I53" i="20"/>
  <c r="I54" i="22"/>
  <c r="H56" i="22"/>
  <c r="I55" i="22"/>
  <c r="H57" i="22"/>
  <c r="H54" i="13"/>
  <c r="J53" i="13"/>
  <c r="K85" i="33" l="1"/>
  <c r="J86" i="33"/>
  <c r="L92" i="15"/>
  <c r="M91" i="15"/>
  <c r="K96" i="18"/>
  <c r="K97" i="18" s="1"/>
  <c r="L95" i="18"/>
  <c r="J91" i="17"/>
  <c r="K90" i="17"/>
  <c r="J74" i="20"/>
  <c r="K74" i="20" s="1"/>
  <c r="K79" i="31"/>
  <c r="L79" i="31" s="1"/>
  <c r="J76" i="22"/>
  <c r="K76" i="22" s="1"/>
  <c r="J79" i="32"/>
  <c r="K79" i="32" s="1"/>
  <c r="I96" i="33"/>
  <c r="H97" i="33"/>
  <c r="I97" i="33" s="1"/>
  <c r="H98" i="33"/>
  <c r="J48" i="19"/>
  <c r="K101" i="37"/>
  <c r="J102" i="37"/>
  <c r="N101" i="37"/>
  <c r="H59" i="31"/>
  <c r="I59" i="31" s="1"/>
  <c r="H58" i="31"/>
  <c r="I58" i="31" s="1"/>
  <c r="H55" i="20"/>
  <c r="I54" i="20"/>
  <c r="H58" i="22"/>
  <c r="I56" i="22"/>
  <c r="H59" i="22"/>
  <c r="I57" i="22"/>
  <c r="H57" i="13"/>
  <c r="J54" i="13"/>
  <c r="L93" i="15" l="1"/>
  <c r="M92" i="15"/>
  <c r="L96" i="18"/>
  <c r="K91" i="17"/>
  <c r="K80" i="31"/>
  <c r="L80" i="31" s="1"/>
  <c r="J77" i="22"/>
  <c r="K77" i="22" s="1"/>
  <c r="K86" i="33"/>
  <c r="J80" i="32"/>
  <c r="K80" i="32" s="1"/>
  <c r="J75" i="20"/>
  <c r="K75" i="20" s="1"/>
  <c r="I98" i="33"/>
  <c r="H100" i="33"/>
  <c r="I100" i="33" s="1"/>
  <c r="I49" i="19"/>
  <c r="K102" i="37"/>
  <c r="J103" i="37"/>
  <c r="N102" i="37"/>
  <c r="H61" i="31"/>
  <c r="I61" i="31" s="1"/>
  <c r="H60" i="31"/>
  <c r="I60" i="31" s="1"/>
  <c r="I55" i="20"/>
  <c r="H60" i="22"/>
  <c r="I58" i="22"/>
  <c r="H61" i="22"/>
  <c r="I59" i="22"/>
  <c r="J57" i="13"/>
  <c r="H58" i="13"/>
  <c r="M93" i="15" l="1"/>
  <c r="J81" i="32"/>
  <c r="K81" i="32" s="1"/>
  <c r="J78" i="22"/>
  <c r="K78" i="22" s="1"/>
  <c r="J87" i="33"/>
  <c r="K87" i="33" s="1"/>
  <c r="J76" i="20"/>
  <c r="K76" i="20" s="1"/>
  <c r="K81" i="31"/>
  <c r="L81" i="31" s="1"/>
  <c r="I50" i="19"/>
  <c r="J49" i="19"/>
  <c r="K103" i="37"/>
  <c r="N103" i="37"/>
  <c r="H62" i="31"/>
  <c r="I62" i="31" s="1"/>
  <c r="H63" i="31"/>
  <c r="I63" i="31" s="1"/>
  <c r="H62" i="22"/>
  <c r="I60" i="22"/>
  <c r="H63" i="22"/>
  <c r="I61" i="22"/>
  <c r="J58" i="13"/>
  <c r="H59" i="13"/>
  <c r="K98" i="18" l="1"/>
  <c r="L97" i="18"/>
  <c r="J93" i="17"/>
  <c r="K92" i="17"/>
  <c r="J88" i="33"/>
  <c r="K88" i="33" s="1"/>
  <c r="J77" i="20"/>
  <c r="K77" i="20" s="1"/>
  <c r="J79" i="22"/>
  <c r="K79" i="22" s="1"/>
  <c r="J82" i="32"/>
  <c r="K82" i="32" s="1"/>
  <c r="K82" i="31"/>
  <c r="L82" i="31" s="1"/>
  <c r="I51" i="19"/>
  <c r="J50" i="19"/>
  <c r="H65" i="31"/>
  <c r="I65" i="31" s="1"/>
  <c r="H64" i="31"/>
  <c r="I64" i="31" s="1"/>
  <c r="H56" i="20"/>
  <c r="H64" i="22"/>
  <c r="I62" i="22"/>
  <c r="H65" i="22"/>
  <c r="I63" i="22"/>
  <c r="J59" i="13"/>
  <c r="H60" i="13"/>
  <c r="L95" i="15" l="1"/>
  <c r="M94" i="15"/>
  <c r="K99" i="18"/>
  <c r="L98" i="18"/>
  <c r="K93" i="17"/>
  <c r="J83" i="32"/>
  <c r="K83" i="32" s="1"/>
  <c r="J80" i="22"/>
  <c r="K80" i="22" s="1"/>
  <c r="J78" i="20"/>
  <c r="K83" i="31"/>
  <c r="L83" i="31" s="1"/>
  <c r="J89" i="33"/>
  <c r="K89" i="33" s="1"/>
  <c r="I52" i="19"/>
  <c r="J51" i="19"/>
  <c r="H66" i="31"/>
  <c r="I66" i="31" s="1"/>
  <c r="H67" i="31"/>
  <c r="I67" i="31" s="1"/>
  <c r="H57" i="20"/>
  <c r="I56" i="20"/>
  <c r="H66" i="22"/>
  <c r="I64" i="22"/>
  <c r="H67" i="22"/>
  <c r="I65" i="22"/>
  <c r="H61" i="13"/>
  <c r="J60" i="13"/>
  <c r="K78" i="20" l="1"/>
  <c r="J79" i="20"/>
  <c r="L96" i="15"/>
  <c r="M95" i="15"/>
  <c r="K100" i="18"/>
  <c r="L99" i="18"/>
  <c r="J81" i="22"/>
  <c r="K81" i="22" s="1"/>
  <c r="K84" i="31"/>
  <c r="L84" i="31" s="1"/>
  <c r="J90" i="33"/>
  <c r="K90" i="33" s="1"/>
  <c r="J84" i="32"/>
  <c r="K84" i="32" s="1"/>
  <c r="I53" i="19"/>
  <c r="J52" i="19"/>
  <c r="H69" i="31"/>
  <c r="H68" i="31"/>
  <c r="I68" i="31" s="1"/>
  <c r="H58" i="20"/>
  <c r="I57" i="20"/>
  <c r="H68" i="22"/>
  <c r="I66" i="22"/>
  <c r="H69" i="22"/>
  <c r="I67" i="22"/>
  <c r="H62" i="13"/>
  <c r="J61" i="13"/>
  <c r="L97" i="15" l="1"/>
  <c r="M97" i="15" s="1"/>
  <c r="M96" i="15"/>
  <c r="K101" i="18"/>
  <c r="L100" i="18"/>
  <c r="J95" i="17"/>
  <c r="K94" i="17"/>
  <c r="J91" i="33"/>
  <c r="J85" i="32"/>
  <c r="K85" i="32" s="1"/>
  <c r="K85" i="31"/>
  <c r="L85" i="31" s="1"/>
  <c r="J82" i="22"/>
  <c r="K82" i="22" s="1"/>
  <c r="K79" i="20"/>
  <c r="I54" i="19"/>
  <c r="J53" i="19"/>
  <c r="H70" i="31"/>
  <c r="I70" i="31" s="1"/>
  <c r="H71" i="31"/>
  <c r="I71" i="31" s="1"/>
  <c r="H59" i="20"/>
  <c r="I58" i="20"/>
  <c r="I68" i="22"/>
  <c r="I69" i="22"/>
  <c r="H64" i="13"/>
  <c r="J62" i="13"/>
  <c r="K91" i="33" l="1"/>
  <c r="J92" i="33"/>
  <c r="M98" i="15"/>
  <c r="M99" i="15" s="1"/>
  <c r="L101" i="18"/>
  <c r="J96" i="17"/>
  <c r="K95" i="17"/>
  <c r="J86" i="32"/>
  <c r="K86" i="32" s="1"/>
  <c r="J83" i="22"/>
  <c r="K83" i="22" s="1"/>
  <c r="K86" i="31"/>
  <c r="L86" i="31" s="1"/>
  <c r="J80" i="20"/>
  <c r="K80" i="20" s="1"/>
  <c r="I55" i="19"/>
  <c r="J54" i="19"/>
  <c r="H73" i="31"/>
  <c r="I73" i="31" s="1"/>
  <c r="H72" i="31"/>
  <c r="H60" i="20"/>
  <c r="I59" i="20"/>
  <c r="H70" i="22"/>
  <c r="H71" i="22"/>
  <c r="H65" i="13"/>
  <c r="J64" i="13"/>
  <c r="J97" i="17" l="1"/>
  <c r="K96" i="17"/>
  <c r="J81" i="20"/>
  <c r="K81" i="20" s="1"/>
  <c r="K87" i="31"/>
  <c r="L87" i="31" s="1"/>
  <c r="J84" i="22"/>
  <c r="K84" i="22" s="1"/>
  <c r="K92" i="33"/>
  <c r="J87" i="32"/>
  <c r="K87" i="32" s="1"/>
  <c r="I56" i="19"/>
  <c r="J55" i="19"/>
  <c r="H74" i="31"/>
  <c r="H61" i="20"/>
  <c r="I60" i="20"/>
  <c r="H73" i="22"/>
  <c r="I71" i="22"/>
  <c r="H72" i="22"/>
  <c r="I70" i="22"/>
  <c r="J65" i="13"/>
  <c r="H66" i="13"/>
  <c r="K103" i="18" l="1"/>
  <c r="L102" i="18"/>
  <c r="J98" i="17"/>
  <c r="K97" i="17"/>
  <c r="J85" i="22"/>
  <c r="K85" i="22" s="1"/>
  <c r="K88" i="31"/>
  <c r="L88" i="31" s="1"/>
  <c r="J93" i="33"/>
  <c r="K93" i="33" s="1"/>
  <c r="J82" i="20"/>
  <c r="K82" i="20" s="1"/>
  <c r="J88" i="32"/>
  <c r="K88" i="32" s="1"/>
  <c r="I57" i="19"/>
  <c r="J56" i="19"/>
  <c r="H75" i="31"/>
  <c r="I75" i="31" s="1"/>
  <c r="H76" i="31"/>
  <c r="H62" i="20"/>
  <c r="I61" i="20"/>
  <c r="H75" i="22"/>
  <c r="I73" i="22"/>
  <c r="H74" i="22"/>
  <c r="I72" i="22"/>
  <c r="H67" i="13"/>
  <c r="J66" i="13"/>
  <c r="K104" i="18" l="1"/>
  <c r="L103" i="18"/>
  <c r="J99" i="17"/>
  <c r="K98" i="17"/>
  <c r="J83" i="20"/>
  <c r="K83" i="20" s="1"/>
  <c r="J94" i="33"/>
  <c r="K94" i="33" s="1"/>
  <c r="K89" i="31"/>
  <c r="L89" i="31" s="1"/>
  <c r="J89" i="32"/>
  <c r="K89" i="32" s="1"/>
  <c r="J86" i="22"/>
  <c r="K86" i="22" s="1"/>
  <c r="I58" i="19"/>
  <c r="J57" i="19"/>
  <c r="H78" i="31"/>
  <c r="I78" i="31" s="1"/>
  <c r="H77" i="31"/>
  <c r="I77" i="31" s="1"/>
  <c r="H63" i="20"/>
  <c r="I62" i="20"/>
  <c r="H77" i="22"/>
  <c r="I75" i="22"/>
  <c r="H76" i="22"/>
  <c r="I74" i="22"/>
  <c r="H68" i="13"/>
  <c r="J67" i="13"/>
  <c r="K105" i="18" l="1"/>
  <c r="L105" i="18" s="1"/>
  <c r="L104" i="18"/>
  <c r="K99" i="17"/>
  <c r="J90" i="32"/>
  <c r="K90" i="32" s="1"/>
  <c r="J95" i="33"/>
  <c r="K95" i="33" s="1"/>
  <c r="K90" i="31"/>
  <c r="L90" i="31" s="1"/>
  <c r="J87" i="22"/>
  <c r="K87" i="22" s="1"/>
  <c r="J84" i="20"/>
  <c r="K84" i="20" s="1"/>
  <c r="I59" i="19"/>
  <c r="J58" i="19"/>
  <c r="H79" i="31"/>
  <c r="H80" i="31"/>
  <c r="I80" i="31" s="1"/>
  <c r="H64" i="20"/>
  <c r="I63" i="20"/>
  <c r="H79" i="22"/>
  <c r="I77" i="22"/>
  <c r="H78" i="22"/>
  <c r="I76" i="22"/>
  <c r="J68" i="13"/>
  <c r="L106" i="18" l="1"/>
  <c r="L107" i="18" s="1"/>
  <c r="J96" i="33"/>
  <c r="J88" i="22"/>
  <c r="K88" i="22" s="1"/>
  <c r="J85" i="20"/>
  <c r="K85" i="20" s="1"/>
  <c r="J91" i="32"/>
  <c r="K91" i="32" s="1"/>
  <c r="K91" i="31"/>
  <c r="L91" i="31" s="1"/>
  <c r="I60" i="19"/>
  <c r="J59" i="19"/>
  <c r="H82" i="31"/>
  <c r="I82" i="31" s="1"/>
  <c r="H81" i="31"/>
  <c r="H83" i="31" s="1"/>
  <c r="I83" i="31" s="1"/>
  <c r="H65" i="20"/>
  <c r="I64" i="20"/>
  <c r="H81" i="22"/>
  <c r="I79" i="22"/>
  <c r="H80" i="22"/>
  <c r="I78" i="22"/>
  <c r="H71" i="13"/>
  <c r="K96" i="33" l="1"/>
  <c r="J97" i="33"/>
  <c r="J101" i="17"/>
  <c r="K100" i="17"/>
  <c r="J92" i="32"/>
  <c r="K92" i="32" s="1"/>
  <c r="J86" i="20"/>
  <c r="K86" i="20" s="1"/>
  <c r="J89" i="22"/>
  <c r="K89" i="22" s="1"/>
  <c r="K92" i="31"/>
  <c r="I61" i="19"/>
  <c r="J60" i="19"/>
  <c r="H85" i="31"/>
  <c r="I85" i="31" s="1"/>
  <c r="H84" i="31"/>
  <c r="H66" i="20"/>
  <c r="I65" i="20"/>
  <c r="H82" i="22"/>
  <c r="I80" i="22"/>
  <c r="H83" i="22"/>
  <c r="I81" i="22"/>
  <c r="J71" i="13"/>
  <c r="H72" i="13"/>
  <c r="L92" i="31" l="1"/>
  <c r="K93" i="31"/>
  <c r="J102" i="17"/>
  <c r="K101" i="17"/>
  <c r="J90" i="22"/>
  <c r="K90" i="22" s="1"/>
  <c r="J87" i="20"/>
  <c r="K87" i="20" s="1"/>
  <c r="K97" i="33"/>
  <c r="J93" i="32"/>
  <c r="K93" i="32" s="1"/>
  <c r="I62" i="19"/>
  <c r="J61" i="19"/>
  <c r="H86" i="31"/>
  <c r="I86" i="31" s="1"/>
  <c r="H87" i="31"/>
  <c r="I87" i="31" s="1"/>
  <c r="H67" i="20"/>
  <c r="I66" i="20"/>
  <c r="H84" i="22"/>
  <c r="I82" i="22"/>
  <c r="H85" i="22"/>
  <c r="I83" i="22"/>
  <c r="J72" i="13"/>
  <c r="H73" i="13"/>
  <c r="J103" i="17" l="1"/>
  <c r="K102" i="17"/>
  <c r="J91" i="22"/>
  <c r="K91" i="22" s="1"/>
  <c r="J88" i="20"/>
  <c r="K88" i="20" s="1"/>
  <c r="J98" i="33"/>
  <c r="K98" i="33" s="1"/>
  <c r="J94" i="32"/>
  <c r="K94" i="32" s="1"/>
  <c r="L93" i="31"/>
  <c r="I63" i="19"/>
  <c r="J62" i="19"/>
  <c r="H89" i="31"/>
  <c r="I89" i="31" s="1"/>
  <c r="H88" i="31"/>
  <c r="I88" i="31" s="1"/>
  <c r="H68" i="20"/>
  <c r="I67" i="20"/>
  <c r="H86" i="22"/>
  <c r="I84" i="22"/>
  <c r="H87" i="22"/>
  <c r="I85" i="22"/>
  <c r="J73" i="13"/>
  <c r="H74" i="13"/>
  <c r="J104" i="17" l="1"/>
  <c r="K103" i="17"/>
  <c r="J95" i="32"/>
  <c r="J99" i="33"/>
  <c r="K99" i="33" s="1"/>
  <c r="J89" i="20"/>
  <c r="K89" i="20" s="1"/>
  <c r="K94" i="31"/>
  <c r="L94" i="31" s="1"/>
  <c r="J92" i="22"/>
  <c r="K92" i="22" s="1"/>
  <c r="I64" i="19"/>
  <c r="J63" i="19"/>
  <c r="H90" i="31"/>
  <c r="I90" i="31" s="1"/>
  <c r="H91" i="31"/>
  <c r="I91" i="31" s="1"/>
  <c r="H69" i="20"/>
  <c r="I68" i="20"/>
  <c r="H88" i="22"/>
  <c r="I86" i="22"/>
  <c r="H89" i="22"/>
  <c r="I87" i="22"/>
  <c r="H75" i="13"/>
  <c r="J74" i="13"/>
  <c r="K95" i="32" l="1"/>
  <c r="J96" i="32"/>
  <c r="K104" i="17"/>
  <c r="J100" i="33"/>
  <c r="K100" i="33" s="1"/>
  <c r="K95" i="31"/>
  <c r="L95" i="31" s="1"/>
  <c r="J90" i="20"/>
  <c r="K90" i="20" s="1"/>
  <c r="J93" i="22"/>
  <c r="K93" i="22" s="1"/>
  <c r="I65" i="19"/>
  <c r="J64" i="19"/>
  <c r="H92" i="31"/>
  <c r="I92" i="31" s="1"/>
  <c r="H70" i="20"/>
  <c r="I69" i="20"/>
  <c r="H90" i="22"/>
  <c r="I88" i="22"/>
  <c r="H91" i="22"/>
  <c r="I89" i="22"/>
  <c r="H76" i="13"/>
  <c r="J75" i="13"/>
  <c r="J91" i="20" l="1"/>
  <c r="K91" i="20" s="1"/>
  <c r="K96" i="31"/>
  <c r="L96" i="31" s="1"/>
  <c r="J94" i="22"/>
  <c r="K94" i="22" s="1"/>
  <c r="K96" i="32"/>
  <c r="J101" i="33"/>
  <c r="K101" i="33" s="1"/>
  <c r="I66" i="19"/>
  <c r="J65" i="19"/>
  <c r="H93" i="31"/>
  <c r="I93" i="31" s="1"/>
  <c r="H94" i="31"/>
  <c r="H71" i="20"/>
  <c r="I70" i="20"/>
  <c r="H93" i="22"/>
  <c r="I91" i="22"/>
  <c r="H92" i="22"/>
  <c r="I90" i="22"/>
  <c r="H77" i="13"/>
  <c r="J76" i="13"/>
  <c r="J106" i="17" l="1"/>
  <c r="K105" i="17"/>
  <c r="K102" i="33"/>
  <c r="K103" i="33" s="1"/>
  <c r="J97" i="32"/>
  <c r="K97" i="32" s="1"/>
  <c r="K97" i="31"/>
  <c r="J95" i="22"/>
  <c r="K95" i="22" s="1"/>
  <c r="J92" i="20"/>
  <c r="K92" i="20" s="1"/>
  <c r="I67" i="19"/>
  <c r="J66" i="19"/>
  <c r="H95" i="31"/>
  <c r="H96" i="31"/>
  <c r="I96" i="31" s="1"/>
  <c r="H72" i="20"/>
  <c r="I71" i="20"/>
  <c r="H95" i="22"/>
  <c r="I93" i="22"/>
  <c r="H94" i="22"/>
  <c r="I92" i="22"/>
  <c r="H78" i="13"/>
  <c r="J77" i="13"/>
  <c r="L97" i="31" l="1"/>
  <c r="K98" i="31"/>
  <c r="J107" i="17"/>
  <c r="K106" i="17"/>
  <c r="J93" i="20"/>
  <c r="K93" i="20" s="1"/>
  <c r="J98" i="32"/>
  <c r="K98" i="32" s="1"/>
  <c r="J96" i="22"/>
  <c r="I68" i="19"/>
  <c r="J67" i="19"/>
  <c r="H97" i="31"/>
  <c r="I97" i="31" s="1"/>
  <c r="H73" i="20"/>
  <c r="I72" i="20"/>
  <c r="I95" i="22"/>
  <c r="H96" i="22"/>
  <c r="I94" i="22"/>
  <c r="H79" i="13"/>
  <c r="J78" i="13"/>
  <c r="K96" i="22" l="1"/>
  <c r="J97" i="22"/>
  <c r="J108" i="17"/>
  <c r="K108" i="17" s="1"/>
  <c r="K107" i="17"/>
  <c r="J99" i="32"/>
  <c r="K99" i="32" s="1"/>
  <c r="L98" i="31"/>
  <c r="J94" i="20"/>
  <c r="I69" i="19"/>
  <c r="J68" i="19"/>
  <c r="H99" i="31"/>
  <c r="I99" i="31" s="1"/>
  <c r="H98" i="31"/>
  <c r="I98" i="31" s="1"/>
  <c r="H74" i="20"/>
  <c r="I73" i="20"/>
  <c r="H97" i="22"/>
  <c r="H99" i="22" s="1"/>
  <c r="I96" i="22"/>
  <c r="H98" i="22"/>
  <c r="H80" i="13"/>
  <c r="J79" i="13"/>
  <c r="K94" i="20" l="1"/>
  <c r="J95" i="20"/>
  <c r="K109" i="17"/>
  <c r="K110" i="17" s="1"/>
  <c r="K99" i="31"/>
  <c r="L99" i="31" s="1"/>
  <c r="J100" i="32"/>
  <c r="K97" i="22"/>
  <c r="I70" i="19"/>
  <c r="J69" i="19"/>
  <c r="H100" i="31"/>
  <c r="H101" i="31"/>
  <c r="H75" i="20"/>
  <c r="I74" i="20"/>
  <c r="H100" i="22"/>
  <c r="I98" i="22"/>
  <c r="H101" i="22"/>
  <c r="I99" i="22"/>
  <c r="H81" i="13"/>
  <c r="J80" i="13"/>
  <c r="K100" i="32" l="1"/>
  <c r="K101" i="32" s="1"/>
  <c r="K102" i="32" s="1"/>
  <c r="J98" i="22"/>
  <c r="K98" i="22" s="1"/>
  <c r="K100" i="31"/>
  <c r="L100" i="31" s="1"/>
  <c r="K95" i="20"/>
  <c r="I71" i="19"/>
  <c r="J70" i="19"/>
  <c r="H102" i="31"/>
  <c r="I102" i="31" s="1"/>
  <c r="H76" i="20"/>
  <c r="I75" i="20"/>
  <c r="H102" i="22"/>
  <c r="I100" i="22"/>
  <c r="H103" i="22"/>
  <c r="I101" i="22"/>
  <c r="H82" i="13"/>
  <c r="J81" i="13"/>
  <c r="K101" i="31" l="1"/>
  <c r="L101" i="31" s="1"/>
  <c r="J96" i="20"/>
  <c r="K96" i="20" s="1"/>
  <c r="J99" i="22"/>
  <c r="K99" i="22" s="1"/>
  <c r="I72" i="19"/>
  <c r="J71" i="19"/>
  <c r="H77" i="20"/>
  <c r="I76" i="20"/>
  <c r="H104" i="22"/>
  <c r="I102" i="22"/>
  <c r="H105" i="22"/>
  <c r="I103" i="22"/>
  <c r="J82" i="13"/>
  <c r="H84" i="13"/>
  <c r="J100" i="22" l="1"/>
  <c r="K100" i="22" s="1"/>
  <c r="J97" i="20"/>
  <c r="K97" i="20" s="1"/>
  <c r="K102" i="31"/>
  <c r="I73" i="19"/>
  <c r="J72" i="19"/>
  <c r="H78" i="20"/>
  <c r="I77" i="20"/>
  <c r="H107" i="22"/>
  <c r="I105" i="22"/>
  <c r="H106" i="22"/>
  <c r="I104" i="22"/>
  <c r="J84" i="13"/>
  <c r="H85" i="13"/>
  <c r="L102" i="31" l="1"/>
  <c r="L103" i="31" s="1"/>
  <c r="L104" i="31" s="1"/>
  <c r="J98" i="20"/>
  <c r="K98" i="20" s="1"/>
  <c r="J101" i="22"/>
  <c r="K101" i="22" s="1"/>
  <c r="J73" i="19"/>
  <c r="I78" i="20"/>
  <c r="H109" i="22"/>
  <c r="I107" i="22"/>
  <c r="H108" i="22"/>
  <c r="I106" i="22"/>
  <c r="H86" i="13"/>
  <c r="J85" i="13"/>
  <c r="J102" i="22" l="1"/>
  <c r="K102" i="22" s="1"/>
  <c r="J99" i="20"/>
  <c r="K99" i="20" s="1"/>
  <c r="I74" i="19"/>
  <c r="H79" i="20"/>
  <c r="H111" i="22"/>
  <c r="I109" i="22"/>
  <c r="H110" i="22"/>
  <c r="I108" i="22"/>
  <c r="H87" i="13"/>
  <c r="J86" i="13"/>
  <c r="J100" i="20" l="1"/>
  <c r="J103" i="22"/>
  <c r="K103" i="22" s="1"/>
  <c r="I75" i="19"/>
  <c r="J74" i="19"/>
  <c r="H80" i="20"/>
  <c r="I79" i="20"/>
  <c r="H113" i="22"/>
  <c r="I111" i="22"/>
  <c r="H112" i="22"/>
  <c r="I110" i="22"/>
  <c r="H88" i="13"/>
  <c r="J87" i="13"/>
  <c r="K100" i="20" l="1"/>
  <c r="J101" i="20"/>
  <c r="J104" i="22"/>
  <c r="K104" i="22" s="1"/>
  <c r="I76" i="19"/>
  <c r="J75" i="19"/>
  <c r="H81" i="20"/>
  <c r="I80" i="20"/>
  <c r="I113" i="22"/>
  <c r="H114" i="22"/>
  <c r="I112" i="22"/>
  <c r="H89" i="13"/>
  <c r="J88" i="13"/>
  <c r="K101" i="20" l="1"/>
  <c r="J105" i="22"/>
  <c r="K105" i="22" s="1"/>
  <c r="I77" i="19"/>
  <c r="J76" i="19"/>
  <c r="H82" i="20"/>
  <c r="I81" i="20"/>
  <c r="H115" i="22"/>
  <c r="I114" i="22"/>
  <c r="H90" i="13"/>
  <c r="J89" i="13"/>
  <c r="J106" i="22" l="1"/>
  <c r="K106" i="22" s="1"/>
  <c r="J102" i="20"/>
  <c r="K102" i="20" s="1"/>
  <c r="I78" i="19"/>
  <c r="J77" i="19"/>
  <c r="H83" i="20"/>
  <c r="I82" i="20"/>
  <c r="H116" i="22"/>
  <c r="H117" i="22"/>
  <c r="I115" i="22"/>
  <c r="H91" i="13"/>
  <c r="J90" i="13"/>
  <c r="J103" i="20" l="1"/>
  <c r="K103" i="20" s="1"/>
  <c r="J107" i="22"/>
  <c r="K107" i="22" s="1"/>
  <c r="I79" i="19"/>
  <c r="J78" i="19"/>
  <c r="H84" i="20"/>
  <c r="I83" i="20"/>
  <c r="H119" i="22"/>
  <c r="I117" i="22"/>
  <c r="H118" i="22"/>
  <c r="I116" i="22"/>
  <c r="J91" i="13"/>
  <c r="J108" i="22" l="1"/>
  <c r="K108" i="22" s="1"/>
  <c r="J104" i="20"/>
  <c r="K104" i="20" s="1"/>
  <c r="I80" i="19"/>
  <c r="J79" i="19"/>
  <c r="H85" i="20"/>
  <c r="I84" i="20"/>
  <c r="H121" i="22"/>
  <c r="I119" i="22"/>
  <c r="H120" i="22"/>
  <c r="I118" i="22"/>
  <c r="H93" i="13"/>
  <c r="J105" i="20" l="1"/>
  <c r="K105" i="20" s="1"/>
  <c r="J109" i="22"/>
  <c r="K109" i="22" s="1"/>
  <c r="I81" i="19"/>
  <c r="J80" i="19"/>
  <c r="H86" i="20"/>
  <c r="I85" i="20"/>
  <c r="H122" i="22"/>
  <c r="I121" i="22"/>
  <c r="I120" i="22"/>
  <c r="J93" i="13"/>
  <c r="H95" i="13"/>
  <c r="J106" i="20" l="1"/>
  <c r="J110" i="22"/>
  <c r="K110" i="22" s="1"/>
  <c r="I82" i="19"/>
  <c r="J81" i="19"/>
  <c r="H87" i="20"/>
  <c r="I86" i="20"/>
  <c r="H124" i="22"/>
  <c r="I122" i="22"/>
  <c r="H123" i="22"/>
  <c r="J95" i="13"/>
  <c r="H96" i="13"/>
  <c r="K106" i="20" l="1"/>
  <c r="J107" i="20"/>
  <c r="J111" i="22"/>
  <c r="K111" i="22" s="1"/>
  <c r="I83" i="19"/>
  <c r="J82" i="19"/>
  <c r="H88" i="20"/>
  <c r="I87" i="20"/>
  <c r="H126" i="22"/>
  <c r="I124" i="22"/>
  <c r="H125" i="22"/>
  <c r="I123" i="22"/>
  <c r="J96" i="13"/>
  <c r="J112" i="22" l="1"/>
  <c r="K112" i="22" s="1"/>
  <c r="I84" i="19"/>
  <c r="J83" i="19"/>
  <c r="H89" i="20"/>
  <c r="I88" i="20"/>
  <c r="H127" i="22"/>
  <c r="I125" i="22"/>
  <c r="I126" i="22"/>
  <c r="H97" i="13"/>
  <c r="J113" i="22" l="1"/>
  <c r="K113" i="22" s="1"/>
  <c r="K107" i="20"/>
  <c r="I85" i="19"/>
  <c r="J84" i="19"/>
  <c r="H90" i="20"/>
  <c r="I89" i="20"/>
  <c r="I127" i="22"/>
  <c r="H128" i="22"/>
  <c r="H98" i="13"/>
  <c r="J97" i="13"/>
  <c r="J108" i="20" l="1"/>
  <c r="K108" i="20" s="1"/>
  <c r="J114" i="22"/>
  <c r="I86" i="19"/>
  <c r="J85" i="19"/>
  <c r="H91" i="20"/>
  <c r="I90" i="20"/>
  <c r="H130" i="22"/>
  <c r="I128" i="22"/>
  <c r="H129" i="22"/>
  <c r="H99" i="13"/>
  <c r="J98" i="13"/>
  <c r="K114" i="22" l="1"/>
  <c r="J115" i="22"/>
  <c r="J109" i="20"/>
  <c r="K109" i="20" s="1"/>
  <c r="I87" i="19"/>
  <c r="J86" i="19"/>
  <c r="H92" i="20"/>
  <c r="I91" i="20"/>
  <c r="H132" i="22"/>
  <c r="I130" i="22"/>
  <c r="H131" i="22"/>
  <c r="I129" i="22"/>
  <c r="H100" i="13"/>
  <c r="J99" i="13"/>
  <c r="J110" i="20" l="1"/>
  <c r="K110" i="20" s="1"/>
  <c r="J87" i="19"/>
  <c r="H93" i="20"/>
  <c r="I92" i="20"/>
  <c r="H134" i="22"/>
  <c r="I134" i="22" s="1"/>
  <c r="I132" i="22"/>
  <c r="H133" i="22"/>
  <c r="I131" i="22"/>
  <c r="H101" i="13"/>
  <c r="J100" i="13"/>
  <c r="J111" i="20" l="1"/>
  <c r="K111" i="20" s="1"/>
  <c r="K115" i="22"/>
  <c r="I88" i="19"/>
  <c r="H94" i="20"/>
  <c r="I93" i="20"/>
  <c r="H135" i="22"/>
  <c r="I135" i="22" s="1"/>
  <c r="I133" i="22"/>
  <c r="J101" i="13"/>
  <c r="K112" i="20" l="1"/>
  <c r="K113" i="20" s="1"/>
  <c r="J116" i="22"/>
  <c r="K116" i="22" s="1"/>
  <c r="I89" i="19"/>
  <c r="J88" i="19"/>
  <c r="I94" i="20"/>
  <c r="H103" i="13"/>
  <c r="J117" i="22" l="1"/>
  <c r="K117" i="22" s="1"/>
  <c r="J89" i="19"/>
  <c r="H95" i="20"/>
  <c r="J103" i="13"/>
  <c r="H104" i="13"/>
  <c r="J118" i="22" l="1"/>
  <c r="K118" i="22" s="1"/>
  <c r="I90" i="19"/>
  <c r="H96" i="20"/>
  <c r="I95" i="20"/>
  <c r="H105" i="13"/>
  <c r="J104" i="13"/>
  <c r="J119" i="22" l="1"/>
  <c r="K119" i="22" s="1"/>
  <c r="I91" i="19"/>
  <c r="J90" i="19"/>
  <c r="H97" i="20"/>
  <c r="I96" i="20"/>
  <c r="H106" i="13"/>
  <c r="J105" i="13"/>
  <c r="J120" i="22" l="1"/>
  <c r="K120" i="22" s="1"/>
  <c r="I92" i="19"/>
  <c r="J91" i="19"/>
  <c r="H98" i="20"/>
  <c r="I97" i="20"/>
  <c r="J106" i="13"/>
  <c r="J121" i="22" l="1"/>
  <c r="I93" i="19"/>
  <c r="J92" i="19"/>
  <c r="H99" i="20"/>
  <c r="I98" i="20"/>
  <c r="H110" i="13"/>
  <c r="K121" i="22" l="1"/>
  <c r="J122" i="22"/>
  <c r="I94" i="19"/>
  <c r="J93" i="19"/>
  <c r="H100" i="20"/>
  <c r="I99" i="20"/>
  <c r="H111" i="13"/>
  <c r="J110" i="13"/>
  <c r="K122" i="22" l="1"/>
  <c r="I95" i="19"/>
  <c r="J94" i="19"/>
  <c r="I100" i="20"/>
  <c r="H112" i="13"/>
  <c r="J112" i="13" s="1"/>
  <c r="J111" i="13"/>
  <c r="J123" i="22" l="1"/>
  <c r="K123" i="22" s="1"/>
  <c r="J95" i="19"/>
  <c r="H101" i="20"/>
  <c r="J124" i="22" l="1"/>
  <c r="K124" i="22" s="1"/>
  <c r="I96" i="19"/>
  <c r="H102" i="20"/>
  <c r="I101" i="20"/>
  <c r="J125" i="22" l="1"/>
  <c r="K125" i="22" s="1"/>
  <c r="I97" i="19"/>
  <c r="J96" i="19"/>
  <c r="H103" i="20"/>
  <c r="I102" i="20"/>
  <c r="J126" i="22" l="1"/>
  <c r="K126" i="22" s="1"/>
  <c r="I98" i="19"/>
  <c r="J97" i="19"/>
  <c r="H104" i="20"/>
  <c r="I103" i="20"/>
  <c r="J127" i="22" l="1"/>
  <c r="I99" i="19"/>
  <c r="J98" i="19"/>
  <c r="H105" i="20"/>
  <c r="I104" i="20"/>
  <c r="K127" i="22" l="1"/>
  <c r="J128" i="22"/>
  <c r="I100" i="19"/>
  <c r="J99" i="19"/>
  <c r="H106" i="20"/>
  <c r="I105" i="20"/>
  <c r="J100" i="19" l="1"/>
  <c r="I106" i="20"/>
  <c r="K128" i="22" l="1"/>
  <c r="I101" i="19"/>
  <c r="J129" i="22" l="1"/>
  <c r="K129" i="22" s="1"/>
  <c r="I102" i="19"/>
  <c r="H107" i="20"/>
  <c r="J130" i="22" l="1"/>
  <c r="K130" i="22" s="1"/>
  <c r="I103" i="19"/>
  <c r="J102" i="19"/>
  <c r="H108" i="20"/>
  <c r="I107" i="20"/>
  <c r="J131" i="22" l="1"/>
  <c r="K131" i="22" s="1"/>
  <c r="I104" i="19"/>
  <c r="J103" i="19"/>
  <c r="H109" i="20"/>
  <c r="I108" i="20"/>
  <c r="J132" i="22" l="1"/>
  <c r="K132" i="22" s="1"/>
  <c r="J104" i="19"/>
  <c r="H110" i="20"/>
  <c r="I109" i="20"/>
  <c r="J133" i="22" l="1"/>
  <c r="K133" i="22" s="1"/>
  <c r="H111" i="20"/>
  <c r="I111" i="20" s="1"/>
  <c r="I110" i="20"/>
  <c r="J134" i="22" l="1"/>
  <c r="K134" i="22" s="1"/>
  <c r="J135" i="22" l="1"/>
  <c r="K136" i="22" l="1"/>
  <c r="K137" i="22" s="1"/>
  <c r="K135" i="22"/>
  <c r="G76" i="9" l="1"/>
</calcChain>
</file>

<file path=xl/sharedStrings.xml><?xml version="1.0" encoding="utf-8"?>
<sst xmlns="http://schemas.openxmlformats.org/spreadsheetml/2006/main" count="3739" uniqueCount="327">
  <si>
    <t>CARLOS LUIZ STRAPAZZON</t>
  </si>
  <si>
    <t>CIBELE FERNANDES DIAS</t>
  </si>
  <si>
    <t>CRISTINA MARIA SOUTO FERIGOTTI</t>
  </si>
  <si>
    <t>DEAN FABIO BUENO DE ALMEIDA</t>
  </si>
  <si>
    <t>ERNESTO LUIS MALTA RODRIGUES</t>
  </si>
  <si>
    <t>FABIO PENDIUK</t>
  </si>
  <si>
    <t>FERNANDA SCHUHLI BOURGES</t>
  </si>
  <si>
    <t>FERNANDO LEOCADIO PIANARO</t>
  </si>
  <si>
    <t>GILSON BONATO</t>
  </si>
  <si>
    <t>JOSE AUGUSTO HEY</t>
  </si>
  <si>
    <t>LUIZ CARLOS RIBEIRO NEDUZIAK</t>
  </si>
  <si>
    <t>MARCELO DA SILVA BENTO</t>
  </si>
  <si>
    <t>MARCO ANTONIO S BARA</t>
  </si>
  <si>
    <t>MARCO AURELIO BONATO</t>
  </si>
  <si>
    <t>MARTINHO MARTIN BOTELHO</t>
  </si>
  <si>
    <t>SANDRO ANDRIOW</t>
  </si>
  <si>
    <t>ADRIANE CRISTINA RIBAS SETTI</t>
  </si>
  <si>
    <t>ALEXIA AP RODRIGUES BROTTO CESSETTI</t>
  </si>
  <si>
    <t>ANA CAROLINA CORREA PETENATI</t>
  </si>
  <si>
    <t>ANGELA MARIA GRIBOGGI</t>
  </si>
  <si>
    <t>ANTONIO CARLOS GUIL</t>
  </si>
  <si>
    <t>EDSON TEIXEIRA DE REZENDE</t>
  </si>
  <si>
    <t>EVERSON CARLOS MAUDA</t>
  </si>
  <si>
    <t>FABIANO DE MELLO VIEIRA</t>
  </si>
  <si>
    <t>FELIPPE ABU-JAMRA CORREA</t>
  </si>
  <si>
    <t>FRANCISCA MARY MAGALHAES DE ALCANTARA</t>
  </si>
  <si>
    <t>GABRIELA CRISTINE BUZZI</t>
  </si>
  <si>
    <t>GUILHERME BORBA VIANNA</t>
  </si>
  <si>
    <t>LUCAS CASONATO JACINTO</t>
  </si>
  <si>
    <t>LUCINETE APARECIDA NAVA HEY</t>
  </si>
  <si>
    <t>MIRIAM CIPRIANI GOMES</t>
  </si>
  <si>
    <t>PABLO BONILLA CHAVES</t>
  </si>
  <si>
    <t xml:space="preserve">PEDRO LUCIANO EVANGELISTA FERREIRA </t>
  </si>
  <si>
    <t>ADELAIDE MARINA LA BANCA</t>
  </si>
  <si>
    <t>ADRIANA FAGOTTE</t>
  </si>
  <si>
    <t>AGEO VENG</t>
  </si>
  <si>
    <t>ALBERTO POSSETTI</t>
  </si>
  <si>
    <t>ALINE M HINTERLANG DE BARROS DETZEL</t>
  </si>
  <si>
    <t>ANTONIO BAZILIO FLORIANI NETO</t>
  </si>
  <si>
    <t>ARY ELIAS SABBAG JUNIOR</t>
  </si>
  <si>
    <t>ATHAYDE FARIA BAGANHA</t>
  </si>
  <si>
    <t>AUGUSTO CESAR MARINS MACHADO</t>
  </si>
  <si>
    <t>BRUNO GOFMAN</t>
  </si>
  <si>
    <t>CARLOS E DE ATHAYDE GUIMARAES</t>
  </si>
  <si>
    <t>CARLOS MAGNO ESTEVES VASCONCELLOS</t>
  </si>
  <si>
    <t>CAROLINE LAIS DA SILVA STELMACH</t>
  </si>
  <si>
    <t>CLAUDIA DE OLIVEIRA VILLAR</t>
  </si>
  <si>
    <t>CONSTANTINO COMNINOS</t>
  </si>
  <si>
    <t>CYRUS GHOBAD</t>
  </si>
  <si>
    <t>DANIELA ANDREIA SCHLOGEL</t>
  </si>
  <si>
    <t>DIEGO FERREIRA</t>
  </si>
  <si>
    <t>DOUGLAS ROCHA MENDES</t>
  </si>
  <si>
    <t>EDSON RIATO JUNIOR</t>
  </si>
  <si>
    <t>ELAINE BEATRIZ FERREIRA DE SOUZA OSHIMA</t>
  </si>
  <si>
    <t>ELCIO ORLANDO CALEGARI</t>
  </si>
  <si>
    <t>ELEONORA LAURINDO DE SOUZA NETTO</t>
  </si>
  <si>
    <t>ELIANA LEAL FERREIRA HELLVIG</t>
  </si>
  <si>
    <t>ELIETE DO ROCIO COSTACURTA QUADROS</t>
  </si>
  <si>
    <t>FERNANDO MINOURO IDA</t>
  </si>
  <si>
    <t>FERNANDO SILVEIRA PICHETH</t>
  </si>
  <si>
    <t>FRANTCHESCO CECCHIN</t>
  </si>
  <si>
    <t>GIHAD MENEZES</t>
  </si>
  <si>
    <t>GRAZIELA C DA SILVA BORGES MACHADO</t>
  </si>
  <si>
    <t>GUSTAVO HENRIQUE SPERANDIO ROXO</t>
  </si>
  <si>
    <t>HENRIQUE NAIGEBOREM</t>
  </si>
  <si>
    <t>IOQUIR AFONSO SOTILE</t>
  </si>
  <si>
    <t xml:space="preserve">JESSICA JANE DE SOUZA </t>
  </si>
  <si>
    <t>JULIA JOERGENSEN SCHLEMM</t>
  </si>
  <si>
    <t xml:space="preserve">JULIANO GARRET GALVAO </t>
  </si>
  <si>
    <t>LAIS GORSKI</t>
  </si>
  <si>
    <t>LEDIANE RANO FERNANDES DA S. DO ROSARIO</t>
  </si>
  <si>
    <t>LEONARDO MATSUNO DA FROTA</t>
  </si>
  <si>
    <t>LEVISON ZAPPELINI</t>
  </si>
  <si>
    <t>LIAN HUA LIU IWERSEN</t>
  </si>
  <si>
    <t>LUCIANA SOUZA DE ARAUJO</t>
  </si>
  <si>
    <t>LUIS GUSTAVO NASCIMENTO DE PAULA</t>
  </si>
  <si>
    <t>LUIZ FERNANDO FERREIRA DA COSTA</t>
  </si>
  <si>
    <t>LUIZ PAULO DAMMSKI</t>
  </si>
  <si>
    <t>MARCIA VANESSA FORMIGA LOPES</t>
  </si>
  <si>
    <t>MARIANA DE MELLO GUSSO ESPINOLA</t>
  </si>
  <si>
    <t>MARINDIA BRITES</t>
  </si>
  <si>
    <t>MARINEI ABREU MATTOS GUARISE</t>
  </si>
  <si>
    <t xml:space="preserve">MELISSA DE CASSIA PEREIRA </t>
  </si>
  <si>
    <t>NEFI CORDEIRO</t>
  </si>
  <si>
    <t>OMAR ACHRAF</t>
  </si>
  <si>
    <t>PEDRO CARLOS CARMONA GALLEGO</t>
  </si>
  <si>
    <t>PEDRO COSTA EINLOFT</t>
  </si>
  <si>
    <t>PEDRO SALANEK FILHO</t>
  </si>
  <si>
    <t>REGINA SUOTA SCHEPANSKI</t>
  </si>
  <si>
    <t>REINALDO JAIR DA CRUZ</t>
  </si>
  <si>
    <t>ROBERTO DE FINO BENTES</t>
  </si>
  <si>
    <t>ROGER LUCIANO FRANCISCO</t>
  </si>
  <si>
    <t>ROGERIO RIBEIRO TOSTES</t>
  </si>
  <si>
    <t>RUBENS AUGUSTO GULMINI</t>
  </si>
  <si>
    <t>SABRINA MARIA FADEL BECUE</t>
  </si>
  <si>
    <t>SAMUEL EBEL BRAGA RAMOS</t>
  </si>
  <si>
    <t>TERESA VARGAS SIERRA</t>
  </si>
  <si>
    <t xml:space="preserve">TIELE ESPANHOL BRAUN </t>
  </si>
  <si>
    <t>VERA MARCIA SIMOES FARES</t>
  </si>
  <si>
    <t xml:space="preserve">VINICIUS HSU CLETO </t>
  </si>
  <si>
    <t>WALCIR SOARES DA SILVA JUNIOR</t>
  </si>
  <si>
    <t>WLAMIR ESTRAIOTTO ROMÃO GUILHERMO</t>
  </si>
  <si>
    <t>MIRIAN CIPRIANI GOMES</t>
  </si>
  <si>
    <t>TOTAL</t>
  </si>
  <si>
    <t>MARTINHO MARTINS BOTELHO</t>
  </si>
  <si>
    <t>ANA PAULA MELLO PEIXOTO</t>
  </si>
  <si>
    <t>EMANUELLE AMARAL DE PAULA ARAÚJO MENDES</t>
  </si>
  <si>
    <t>GILBERTO GNOATO</t>
  </si>
  <si>
    <t>GIOVANA LUIZA MAROCHI (*)</t>
  </si>
  <si>
    <t>KAUANA VIEIRA DA ROSA KALACHE</t>
  </si>
  <si>
    <t>LUIS FERNANDO MORO MILLEO</t>
  </si>
  <si>
    <t>MARIANGELA DE FREITAS DIAS</t>
  </si>
  <si>
    <t>MORONI CORDEIRO</t>
  </si>
  <si>
    <t>RENATO DOS SANTOS</t>
  </si>
  <si>
    <t>EMANUELLE AMARAL DE PAULA ARAUJO MENDES</t>
  </si>
  <si>
    <t>GIOVANA LUIZA MAROCHI</t>
  </si>
  <si>
    <t>ANA CAROLINA CORREA PETENATI DE OLIVEIRA</t>
  </si>
  <si>
    <t>ANIELE FISCHER BRAND</t>
  </si>
  <si>
    <t>CICERO FERNANDES MARQUES</t>
  </si>
  <si>
    <t>DAIANE CRISTINE DE SOUZA</t>
  </si>
  <si>
    <t>DENISE FERREIRA</t>
  </si>
  <si>
    <t>DIOGENES LEAL DE OLIVEIRA JUNIOR</t>
  </si>
  <si>
    <t>ELSON HAZELSKI TEIXEIRA</t>
  </si>
  <si>
    <t>FABRICIO PALERMO PUPO</t>
  </si>
  <si>
    <t>GERALDO VICENTE BARRETO DA COSTA</t>
  </si>
  <si>
    <t>HENRIQUE NAIBEBOREM</t>
  </si>
  <si>
    <t>JEAN MARCELO DA COSTA SALES</t>
  </si>
  <si>
    <t>JOSE LUIS ANDREA JUNIOR</t>
  </si>
  <si>
    <t>LEONARDO KOITI ODA</t>
  </si>
  <si>
    <t>LILLIAN CRISTIANE CAMARGO MOREIRA</t>
  </si>
  <si>
    <t>LUIZ GIBUR JUNIOR</t>
  </si>
  <si>
    <t>MARCIO JOSE ASSUMPÇÃO</t>
  </si>
  <si>
    <t>NIVALDO SOARES DE SOUZA</t>
  </si>
  <si>
    <t>OEDEU BUSNELLO CAPRIGLIONI FILHO</t>
  </si>
  <si>
    <t>SILVIA HELENA PIENTA BORGES BARBOSA</t>
  </si>
  <si>
    <t>TAIS MARTINS</t>
  </si>
  <si>
    <t>VERA LUCIA DA SILVA ALVES</t>
  </si>
  <si>
    <t>AUTOR: SINPES - SINDICATO DOS PROF.DE ENSINO SUP.DE CURITIBA</t>
  </si>
  <si>
    <t>RÉU: FESP - FUNDAÇÃO DE ESTUDOS SOCIAIS DO ESTADO DO PARANÁ</t>
  </si>
  <si>
    <t>RESUMO DE CÁLCULO</t>
  </si>
  <si>
    <t>VALOR DEVIDO</t>
  </si>
  <si>
    <t>FUNDACAO DE ESTUDOS SOCIAIS DO PARANA</t>
  </si>
  <si>
    <t>Cadastro</t>
  </si>
  <si>
    <t>OBS</t>
  </si>
  <si>
    <t>PROFESSOR</t>
  </si>
  <si>
    <t>% A SER PAGO</t>
  </si>
  <si>
    <t>SALDO PENDENTE</t>
  </si>
  <si>
    <t>DATA PGTO</t>
  </si>
  <si>
    <t>BANCO P/ PGTO</t>
  </si>
  <si>
    <t>CC OU TED</t>
  </si>
  <si>
    <t>ITAÚ</t>
  </si>
  <si>
    <t>TED</t>
  </si>
  <si>
    <t>CC</t>
  </si>
  <si>
    <t>PIX - 185.737.119-49</t>
  </si>
  <si>
    <t>PIX</t>
  </si>
  <si>
    <t>PIX - 047.508.249-41</t>
  </si>
  <si>
    <t>SUBTOTAL 65%:</t>
  </si>
  <si>
    <t>PIX - 041.499.069-20</t>
  </si>
  <si>
    <t>BRADESCO</t>
  </si>
  <si>
    <t>CHEQUE</t>
  </si>
  <si>
    <t>SUBTOTAL 80%:</t>
  </si>
  <si>
    <t>ARQUIVO</t>
  </si>
  <si>
    <t>SUBTOTAL 100%:</t>
  </si>
  <si>
    <t>VALOR PAGO</t>
  </si>
  <si>
    <t>CORREÇÃO</t>
  </si>
  <si>
    <t>VALOR PENDENTE</t>
  </si>
  <si>
    <t>FOLHA PROFESSORES 01/2021</t>
  </si>
  <si>
    <t>**Pendente de pagamento</t>
  </si>
  <si>
    <t>PIX - 544.520.589-49</t>
  </si>
  <si>
    <t>PIX - 048.728.759-23</t>
  </si>
  <si>
    <t>COMPENSAÇÃO</t>
  </si>
  <si>
    <t>FUNDACAO DE ESTUDOS SOCIAIS DO PARANÁ</t>
  </si>
  <si>
    <t>VALOR OFICIAL (DO RH)</t>
  </si>
  <si>
    <t>PIX - 025.979.819-32</t>
  </si>
  <si>
    <t>PIX - 018.449.609-86</t>
  </si>
  <si>
    <t>PIX - 359.857.809-10</t>
  </si>
  <si>
    <t>PIX - 551.069.199-91</t>
  </si>
  <si>
    <t>PGTO DE 65%  PAGO</t>
  </si>
  <si>
    <t>PGTO DE 40%  PAGO</t>
  </si>
  <si>
    <t>PGTO DE 60%  PAGO</t>
  </si>
  <si>
    <t>PGTO DE 80%  PAGO</t>
  </si>
  <si>
    <t>PGTO DE 100%  PAGO</t>
  </si>
  <si>
    <t xml:space="preserve">FOLHA PROFESSORES 03/2021 </t>
  </si>
  <si>
    <t xml:space="preserve">FOLHA PROFESSORES 02/2021 </t>
  </si>
  <si>
    <t>FOLHA PROFESSORES 04/2021</t>
  </si>
  <si>
    <t>**PENDENTE DE PAGAMENTO</t>
  </si>
  <si>
    <t>PIX - 519.813.199-72</t>
  </si>
  <si>
    <t>FOLHA PROFESSORES 05/2021</t>
  </si>
  <si>
    <t>**pagamento em duplicidade em 06/05/2021 (0,72) não pagar nessa folha</t>
  </si>
  <si>
    <t>PIX - 022.769.430-92</t>
  </si>
  <si>
    <t>FOLHA PROFESSORES 06/2021</t>
  </si>
  <si>
    <t>PAGAMENTOS:</t>
  </si>
  <si>
    <t>BRADESCO:</t>
  </si>
  <si>
    <t>ITAÚ:</t>
  </si>
  <si>
    <t>TOTAL:</t>
  </si>
  <si>
    <t>FOLHA PROFESSORES 07/2021</t>
  </si>
  <si>
    <t>*PENDENTE DE PAGAMENTO</t>
  </si>
  <si>
    <t xml:space="preserve">FOPAG PROFESSORES 13/2020 </t>
  </si>
  <si>
    <t>02- Diferença salarial dezembro 2020</t>
  </si>
  <si>
    <t>01 -Diferença salaria 13ª SALÁRIO 2020</t>
  </si>
  <si>
    <t>04- Diferença salarial fevereirto 2021</t>
  </si>
  <si>
    <t>05- Diferença salarial março de 2021</t>
  </si>
  <si>
    <t>06-  Diferença salarial abril 2021</t>
  </si>
  <si>
    <t>07- Diferença salarial maio 2021</t>
  </si>
  <si>
    <t xml:space="preserve">08- Diferença salarial junho de 2021 </t>
  </si>
  <si>
    <t>09- Diferença salarial julho de 2021</t>
  </si>
  <si>
    <t>03- Diferença salarial janeiro de 2021</t>
  </si>
  <si>
    <t>TERÇO DE FÉRIAS</t>
  </si>
  <si>
    <t xml:space="preserve">03- Diferença salarial  janeiro + TERÇO DE FÉRIAS . </t>
  </si>
  <si>
    <t>10- Diferença salarial agosto de 2021</t>
  </si>
  <si>
    <t>11- Diferença salarial setembro de 2021</t>
  </si>
  <si>
    <t>12- Diferença salarial outubro de 2021</t>
  </si>
  <si>
    <t>FGTS</t>
  </si>
  <si>
    <t>DATA DEVIDA</t>
  </si>
  <si>
    <t>DIAS DE ATRASO</t>
  </si>
  <si>
    <t>ABONO 6,22%</t>
  </si>
  <si>
    <t>DOCENTE</t>
  </si>
  <si>
    <t>DANO MORAL</t>
  </si>
  <si>
    <t xml:space="preserve"> MULTA 1+J2</t>
  </si>
  <si>
    <t>ALESSANDRA HELENA TRIACA</t>
  </si>
  <si>
    <t>ELISA SMILE TEIXEIRA DE OLIVEIRA</t>
  </si>
  <si>
    <t>FERNANDO BOTTO LAMOGLIA</t>
  </si>
  <si>
    <t>ROBERTA CRISTINA GOBBI BACCARIM</t>
  </si>
  <si>
    <t>SANDRA MARA DE ALMEIDA RODRIGUES</t>
  </si>
  <si>
    <t>TOTAL MULTA</t>
  </si>
  <si>
    <t>FOLHA PROFESSORES 08/2021</t>
  </si>
  <si>
    <t>FOLHA PROFESSORES 09/2021</t>
  </si>
  <si>
    <t>FOLHA PROFESSORES 10/2021</t>
  </si>
  <si>
    <t>FOLHA PROFESSORES 11/2021</t>
  </si>
  <si>
    <t>13- Diferença salarial novembro de 2021</t>
  </si>
  <si>
    <t>FOLHA PROFESSORES 12/2021</t>
  </si>
  <si>
    <t>14- Diferença salarial dezembro de 2021</t>
  </si>
  <si>
    <t>KAUANA VIEIRIA DA ROSA KALACHE</t>
  </si>
  <si>
    <t>FOLHA PROFESSORES 13/2021</t>
  </si>
  <si>
    <t>15- Diferença salarial 01ª parcela 13º salário</t>
  </si>
  <si>
    <t>16- Diferença salarial 02ª parcela 13º salário</t>
  </si>
  <si>
    <t>FOLHA PROFESSORES 01/2022</t>
  </si>
  <si>
    <t>17- TERÇO DE FÉRIAS</t>
  </si>
  <si>
    <t xml:space="preserve">17- Diferença salarial  janeiro </t>
  </si>
  <si>
    <t>03- Terço de férias</t>
  </si>
  <si>
    <t>FOLHA PROFESSORES 02/2022</t>
  </si>
  <si>
    <t>CLAUDIA CIBELE BITDINGER COBALCHINI</t>
  </si>
  <si>
    <t>GIANI APARECIDA GAIGUER</t>
  </si>
  <si>
    <t>18-Diferença salarial fevereiro 2022</t>
  </si>
  <si>
    <t>FOLHA PROFESSORES 03/2022</t>
  </si>
  <si>
    <t>MELISSA DE CASSIA PEREIRA</t>
  </si>
  <si>
    <t>19-Diferença salarial março 2022</t>
  </si>
  <si>
    <t>FOLHA PROFESSORES 04/2022</t>
  </si>
  <si>
    <t>20-Diferença salarial abril 2022</t>
  </si>
  <si>
    <t xml:space="preserve">21- FGTS </t>
  </si>
  <si>
    <t>22- ABONO SALARIAL 6,22%</t>
  </si>
  <si>
    <t>23-  INDENIZAÇÂO POR DANO MORAL</t>
  </si>
  <si>
    <t>TAXA SELIC</t>
  </si>
  <si>
    <t>Correção selic</t>
  </si>
  <si>
    <t>correção selic</t>
  </si>
  <si>
    <t>taxa selic</t>
  </si>
  <si>
    <t>CORREÇÃO SELIC</t>
  </si>
  <si>
    <t>CORREÇÃO SELIC 8,36</t>
  </si>
  <si>
    <t>salário</t>
  </si>
  <si>
    <t>abono</t>
  </si>
  <si>
    <t>fgts</t>
  </si>
  <si>
    <t>selic</t>
  </si>
  <si>
    <t>aulas pagas em 02/2022</t>
  </si>
  <si>
    <t>aulas pagas em 03/2022</t>
  </si>
  <si>
    <t>aulas pagas em 04/22</t>
  </si>
  <si>
    <t>aulas devidas</t>
  </si>
  <si>
    <t>diferenças de numero de aulas a pagar</t>
  </si>
  <si>
    <t>total devido</t>
  </si>
  <si>
    <t>base hora</t>
  </si>
  <si>
    <t>dsr</t>
  </si>
  <si>
    <t>h.atividade</t>
  </si>
  <si>
    <t>ats</t>
  </si>
  <si>
    <t>valor h.a</t>
  </si>
  <si>
    <t>diferença</t>
  </si>
  <si>
    <t>JESSICA JANE DE SOUZA</t>
  </si>
  <si>
    <t>PEDRO LUCIANO EVANGELISTA FERREIRA</t>
  </si>
  <si>
    <t>PRIMEIRO SEMESTRE 2022 - PROF. CURSO DE DIREITO - FESP</t>
  </si>
  <si>
    <t>Hora aula paga em cada mês</t>
  </si>
  <si>
    <t>MAT.</t>
  </si>
  <si>
    <t>Nome</t>
  </si>
  <si>
    <t>Admissão</t>
  </si>
  <si>
    <t>Valor da hora aula</t>
  </si>
  <si>
    <t xml:space="preserve">ATS </t>
  </si>
  <si>
    <t>Horas corretas</t>
  </si>
  <si>
    <t>20h08m</t>
  </si>
  <si>
    <t>18h</t>
  </si>
  <si>
    <t>43h31m</t>
  </si>
  <si>
    <t>38h09m</t>
  </si>
  <si>
    <t>51h45m</t>
  </si>
  <si>
    <t>40h18m</t>
  </si>
  <si>
    <t>54h</t>
  </si>
  <si>
    <t>22h18m</t>
  </si>
  <si>
    <t>13h18m</t>
  </si>
  <si>
    <t>16h31m</t>
  </si>
  <si>
    <t>16h10m</t>
  </si>
  <si>
    <t>20h15m</t>
  </si>
  <si>
    <t>37h04m</t>
  </si>
  <si>
    <t>75h13m</t>
  </si>
  <si>
    <t>33h35m</t>
  </si>
  <si>
    <t>40h17m</t>
  </si>
  <si>
    <t>38h14m</t>
  </si>
  <si>
    <t>6h45m</t>
  </si>
  <si>
    <t>9h</t>
  </si>
  <si>
    <t>77h22m</t>
  </si>
  <si>
    <t>62h35m</t>
  </si>
  <si>
    <t>27h</t>
  </si>
  <si>
    <t>13h18mn</t>
  </si>
  <si>
    <t>33h27m</t>
  </si>
  <si>
    <t>45h</t>
  </si>
  <si>
    <t>20h11m</t>
  </si>
  <si>
    <t>36h</t>
  </si>
  <si>
    <t>DIFERNÇAS H.A</t>
  </si>
  <si>
    <t>DURAÇÃO</t>
  </si>
  <si>
    <t>PENDENTE</t>
  </si>
  <si>
    <t xml:space="preserve">SALDO </t>
  </si>
  <si>
    <t>DIFERENÇAS H.A</t>
  </si>
  <si>
    <t>HORAS AULAS PAGAS 02/2022</t>
  </si>
  <si>
    <t>HORAS AULAS PAGAS 03/2022</t>
  </si>
  <si>
    <t>HORAS AULAS PAGAS 04/2022</t>
  </si>
  <si>
    <t>HORAS AULAS DEVIDAS</t>
  </si>
  <si>
    <t>DIFERENÇAS</t>
  </si>
  <si>
    <t>Nº H.A</t>
  </si>
  <si>
    <t>DEVIDAS</t>
  </si>
  <si>
    <t xml:space="preserve">DIFERENÇAS </t>
  </si>
  <si>
    <t>H.A MARÇO/22</t>
  </si>
  <si>
    <t>H.A FEVEREIRO/22</t>
  </si>
  <si>
    <t>H.A ABRIL/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</si>
</sst>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_ ;\-#,##0.00\ "/>
    <numFmt numFmtId="166" formatCode="[$-F400]h:mm:ss\ AM/PM"/>
    <numFmt numFmtId="167" formatCode="###0"/>
    <numFmt numFmtId="168" formatCode="000000"/>
  </numFmts>
  <fonts count="5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8"/>
      <name val="Arial"/>
      <family val="1"/>
    </font>
    <font>
      <b/>
      <sz val="10"/>
      <name val="Arial"/>
      <family val="1"/>
    </font>
    <font>
      <sz val="11"/>
      <color rgb="FF000000"/>
      <name val="Calibri"/>
      <family val="2"/>
    </font>
    <font>
      <b/>
      <sz val="9"/>
      <name val="Arial"/>
      <family val="1"/>
    </font>
    <font>
      <b/>
      <sz val="11"/>
      <name val="Calibri"/>
      <family val="2"/>
    </font>
    <font>
      <sz val="11"/>
      <color rgb="FF000000"/>
      <name val="Calibri"/>
    </font>
    <font>
      <sz val="11"/>
      <name val="Calibri"/>
      <family val="2"/>
    </font>
    <font>
      <b/>
      <sz val="12"/>
      <name val="Arial"/>
      <family val="1"/>
    </font>
    <font>
      <sz val="11"/>
      <color rgb="FF9C650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Arial"/>
      <family val="1"/>
    </font>
    <font>
      <b/>
      <sz val="11"/>
      <color rgb="FF000000"/>
      <name val="Arial"/>
      <family val="1"/>
    </font>
    <font>
      <b/>
      <sz val="9"/>
      <color rgb="FF000000"/>
      <name val="Arial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i/>
      <u/>
      <sz val="9"/>
      <color rgb="FF000000"/>
      <name val="Arial"/>
      <family val="1"/>
    </font>
    <font>
      <b/>
      <sz val="8"/>
      <color rgb="FF000000"/>
      <name val="Arial"/>
      <family val="1"/>
    </font>
  </fonts>
  <fills count="1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6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hair">
        <color theme="0" tint="-0.34998626667073579"/>
      </left>
      <right/>
      <top style="hair">
        <color theme="0" tint="-0.34998626667073579"/>
      </top>
      <bottom/>
      <diagonal/>
    </border>
    <border>
      <left/>
      <right/>
      <top style="hair">
        <color theme="0" tint="-0.34998626667073579"/>
      </top>
      <bottom/>
      <diagonal/>
    </border>
    <border>
      <left/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/>
      <top/>
      <bottom/>
      <diagonal/>
    </border>
    <border>
      <left/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/>
      <top/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theme="0" tint="-0.34998626667073579"/>
      </left>
      <right style="thin">
        <color theme="0" tint="-0.34998626667073579"/>
      </right>
      <top/>
      <bottom/>
      <diagonal/>
    </border>
    <border>
      <left style="hair">
        <color auto="1"/>
      </left>
      <right style="hair">
        <color theme="0" tint="-0.34998626667073579"/>
      </right>
      <top/>
      <bottom style="hair">
        <color auto="1"/>
      </bottom>
      <diagonal/>
    </border>
    <border>
      <left style="hair">
        <color theme="0" tint="-0.34998626667073579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theme="0" tint="-0.34998626667073579"/>
      </right>
      <top style="hair">
        <color auto="1"/>
      </top>
      <bottom style="hair">
        <color auto="1"/>
      </bottom>
      <diagonal/>
    </border>
    <border>
      <left style="hair">
        <color theme="0" tint="-0.34998626667073579"/>
      </left>
      <right style="hair">
        <color auto="1"/>
      </right>
      <top style="hair">
        <color auto="1"/>
      </top>
      <bottom style="hair">
        <color theme="0" tint="-0.34998626667073579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theme="0" tint="-0.34998626667073579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7">
    <xf numFmtId="0" fontId="0" fillId="0" borderId="0"/>
    <xf numFmtId="0" fontId="2" fillId="0" borderId="11" applyNumberFormat="0" applyFill="0" applyAlignment="0" applyProtection="0"/>
    <xf numFmtId="0" fontId="3" fillId="3" borderId="12" applyNumberFormat="0" applyAlignment="0" applyProtection="0"/>
    <xf numFmtId="0" fontId="4" fillId="4" borderId="13" applyNumberFormat="0" applyAlignment="0" applyProtection="0"/>
    <xf numFmtId="43" fontId="7" fillId="0" borderId="0" applyFont="0" applyFill="0" applyBorder="0" applyAlignment="0" applyProtection="0"/>
    <xf numFmtId="0" fontId="10" fillId="0" borderId="0" applyNumberFormat="0"/>
    <xf numFmtId="0" fontId="13" fillId="2" borderId="0" applyNumberFormat="0" applyBorder="0" applyAlignment="0" applyProtection="0"/>
    <xf numFmtId="0" fontId="7" fillId="0" borderId="0" applyNumberFormat="0"/>
    <xf numFmtId="42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61" applyNumberFormat="0" applyFill="0" applyAlignment="0" applyProtection="0"/>
    <xf numFmtId="0" fontId="41" fillId="0" borderId="0" applyNumberFormat="0" applyFill="0" applyBorder="0" applyAlignment="0" applyProtection="0"/>
    <xf numFmtId="0" fontId="42" fillId="9" borderId="0" applyNumberFormat="0" applyBorder="0" applyAlignment="0" applyProtection="0"/>
    <xf numFmtId="9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500">
    <xf numFmtId="0" fontId="0" fillId="0" borderId="0" xfId="0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43" fontId="0" fillId="0" borderId="10" xfId="0" applyNumberFormat="1" applyBorder="1"/>
    <xf numFmtId="0" fontId="5" fillId="0" borderId="0" xfId="3" applyFont="1" applyFill="1" applyBorder="1" applyAlignment="1">
      <alignment horizontal="left"/>
    </xf>
    <xf numFmtId="0" fontId="6" fillId="0" borderId="0" xfId="2" applyFont="1" applyFill="1" applyBorder="1" applyAlignment="1">
      <alignment horizontal="left"/>
    </xf>
    <xf numFmtId="43" fontId="9" fillId="0" borderId="0" xfId="4" applyFont="1" applyFill="1" applyBorder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11" fillId="0" borderId="0" xfId="5" applyFont="1"/>
    <xf numFmtId="0" fontId="12" fillId="0" borderId="0" xfId="2" applyFont="1" applyFill="1" applyBorder="1" applyAlignment="1">
      <alignment horizontal="left"/>
    </xf>
    <xf numFmtId="43" fontId="11" fillId="0" borderId="0" xfId="4" applyFont="1" applyFill="1" applyBorder="1" applyAlignment="1">
      <alignment horizontal="center" vertical="center"/>
    </xf>
    <xf numFmtId="0" fontId="14" fillId="0" borderId="14" xfId="6" applyFont="1" applyFill="1" applyBorder="1" applyAlignment="1">
      <alignment horizontal="center"/>
    </xf>
    <xf numFmtId="0" fontId="15" fillId="0" borderId="0" xfId="5" applyFont="1"/>
    <xf numFmtId="0" fontId="15" fillId="0" borderId="0" xfId="1" applyFont="1" applyFill="1" applyBorder="1" applyAlignment="1">
      <alignment horizontal="right"/>
    </xf>
    <xf numFmtId="43" fontId="14" fillId="5" borderId="0" xfId="4" applyFont="1" applyFill="1" applyBorder="1" applyAlignment="1">
      <alignment horizontal="center" vertical="center"/>
    </xf>
    <xf numFmtId="43" fontId="14" fillId="0" borderId="0" xfId="4" applyFont="1" applyFill="1" applyBorder="1" applyAlignment="1">
      <alignment horizontal="center" vertical="center"/>
    </xf>
    <xf numFmtId="0" fontId="15" fillId="0" borderId="15" xfId="1" applyFont="1" applyFill="1" applyBorder="1" applyAlignment="1">
      <alignment horizontal="right"/>
    </xf>
    <xf numFmtId="0" fontId="15" fillId="0" borderId="16" xfId="1" applyFont="1" applyFill="1" applyBorder="1" applyAlignment="1">
      <alignment horizontal="right"/>
    </xf>
    <xf numFmtId="0" fontId="9" fillId="0" borderId="0" xfId="5" applyFont="1"/>
    <xf numFmtId="0" fontId="15" fillId="6" borderId="0" xfId="1" applyFont="1" applyFill="1" applyBorder="1" applyAlignment="1">
      <alignment horizontal="right"/>
    </xf>
    <xf numFmtId="0" fontId="16" fillId="0" borderId="16" xfId="5" applyFont="1" applyBorder="1"/>
    <xf numFmtId="0" fontId="16" fillId="0" borderId="0" xfId="5" applyFont="1"/>
    <xf numFmtId="0" fontId="16" fillId="0" borderId="0" xfId="5" applyFont="1" applyAlignment="1">
      <alignment horizontal="center"/>
    </xf>
    <xf numFmtId="0" fontId="17" fillId="0" borderId="0" xfId="5" applyFont="1"/>
    <xf numFmtId="43" fontId="17" fillId="0" borderId="0" xfId="4" applyFont="1" applyFill="1" applyBorder="1" applyAlignment="1">
      <alignment horizontal="center" vertical="center"/>
    </xf>
    <xf numFmtId="0" fontId="10" fillId="0" borderId="0" xfId="5"/>
    <xf numFmtId="43" fontId="18" fillId="0" borderId="0" xfId="4" applyFont="1" applyFill="1" applyBorder="1" applyAlignment="1">
      <alignment horizontal="center" vertical="center"/>
    </xf>
    <xf numFmtId="164" fontId="16" fillId="0" borderId="0" xfId="5" applyNumberFormat="1" applyFont="1" applyAlignment="1">
      <alignment horizontal="center" vertical="center"/>
    </xf>
    <xf numFmtId="43" fontId="10" fillId="0" borderId="0" xfId="5" applyNumberFormat="1"/>
    <xf numFmtId="0" fontId="9" fillId="0" borderId="0" xfId="5" applyFont="1" applyAlignment="1">
      <alignment horizontal="center" vertical="center"/>
    </xf>
    <xf numFmtId="9" fontId="15" fillId="0" borderId="2" xfId="1" applyNumberFormat="1" applyFont="1" applyFill="1" applyBorder="1" applyAlignment="1">
      <alignment horizontal="center"/>
    </xf>
    <xf numFmtId="0" fontId="15" fillId="0" borderId="2" xfId="1" applyFont="1" applyFill="1" applyBorder="1" applyAlignment="1">
      <alignment horizontal="left"/>
    </xf>
    <xf numFmtId="43" fontId="15" fillId="0" borderId="2" xfId="4" applyFont="1" applyFill="1" applyBorder="1" applyAlignment="1">
      <alignment horizontal="center" vertical="center"/>
    </xf>
    <xf numFmtId="43" fontId="14" fillId="5" borderId="2" xfId="4" applyFont="1" applyFill="1" applyBorder="1" applyAlignment="1">
      <alignment horizontal="center" vertical="center"/>
    </xf>
    <xf numFmtId="43" fontId="14" fillId="0" borderId="2" xfId="4" applyFont="1" applyFill="1" applyBorder="1" applyAlignment="1">
      <alignment horizontal="center" vertical="center"/>
    </xf>
    <xf numFmtId="14" fontId="15" fillId="0" borderId="2" xfId="4" applyNumberFormat="1" applyFont="1" applyFill="1" applyBorder="1" applyAlignment="1">
      <alignment horizontal="center" vertical="center"/>
    </xf>
    <xf numFmtId="0" fontId="15" fillId="0" borderId="2" xfId="1" applyFont="1" applyBorder="1" applyAlignment="1">
      <alignment horizontal="left"/>
    </xf>
    <xf numFmtId="43" fontId="15" fillId="6" borderId="2" xfId="4" applyFont="1" applyFill="1" applyBorder="1" applyAlignment="1">
      <alignment horizontal="center" vertical="center"/>
    </xf>
    <xf numFmtId="14" fontId="15" fillId="0" borderId="2" xfId="5" applyNumberFormat="1" applyFont="1" applyBorder="1" applyAlignment="1">
      <alignment horizontal="center" vertical="center"/>
    </xf>
    <xf numFmtId="43" fontId="15" fillId="0" borderId="2" xfId="4" applyFont="1" applyBorder="1" applyAlignment="1">
      <alignment horizontal="center" vertical="center"/>
    </xf>
    <xf numFmtId="9" fontId="15" fillId="7" borderId="2" xfId="1" applyNumberFormat="1" applyFont="1" applyFill="1" applyBorder="1" applyAlignment="1">
      <alignment horizontal="center"/>
    </xf>
    <xf numFmtId="43" fontId="14" fillId="7" borderId="2" xfId="4" applyFont="1" applyFill="1" applyBorder="1" applyAlignment="1">
      <alignment horizontal="center" vertical="center"/>
    </xf>
    <xf numFmtId="14" fontId="15" fillId="7" borderId="2" xfId="4" applyNumberFormat="1" applyFont="1" applyFill="1" applyBorder="1" applyAlignment="1">
      <alignment horizontal="center" vertical="center"/>
    </xf>
    <xf numFmtId="43" fontId="20" fillId="7" borderId="2" xfId="4" applyFont="1" applyFill="1" applyBorder="1" applyAlignment="1">
      <alignment horizontal="center" vertical="center"/>
    </xf>
    <xf numFmtId="43" fontId="21" fillId="7" borderId="2" xfId="4" applyFont="1" applyFill="1" applyBorder="1" applyAlignment="1">
      <alignment horizontal="center" vertical="center"/>
    </xf>
    <xf numFmtId="9" fontId="14" fillId="7" borderId="2" xfId="1" applyNumberFormat="1" applyFont="1" applyFill="1" applyBorder="1" applyAlignment="1">
      <alignment horizontal="center"/>
    </xf>
    <xf numFmtId="14" fontId="14" fillId="7" borderId="2" xfId="5" applyNumberFormat="1" applyFont="1" applyFill="1" applyBorder="1" applyAlignment="1">
      <alignment horizontal="center" vertical="center"/>
    </xf>
    <xf numFmtId="0" fontId="16" fillId="8" borderId="2" xfId="5" applyFont="1" applyFill="1" applyBorder="1" applyAlignment="1">
      <alignment horizontal="center"/>
    </xf>
    <xf numFmtId="0" fontId="17" fillId="8" borderId="2" xfId="5" applyFont="1" applyFill="1" applyBorder="1" applyAlignment="1">
      <alignment horizontal="center"/>
    </xf>
    <xf numFmtId="43" fontId="17" fillId="8" borderId="2" xfId="4" applyFont="1" applyFill="1" applyBorder="1" applyAlignment="1">
      <alignment horizontal="center" vertical="center"/>
    </xf>
    <xf numFmtId="43" fontId="22" fillId="8" borderId="2" xfId="4" applyFont="1" applyFill="1" applyBorder="1" applyAlignment="1">
      <alignment horizontal="center" vertical="center"/>
    </xf>
    <xf numFmtId="0" fontId="14" fillId="0" borderId="2" xfId="6" applyFont="1" applyFill="1" applyBorder="1" applyAlignment="1">
      <alignment horizontal="center"/>
    </xf>
    <xf numFmtId="0" fontId="14" fillId="0" borderId="2" xfId="2" applyFont="1" applyFill="1" applyBorder="1" applyAlignment="1">
      <alignment horizontal="center"/>
    </xf>
    <xf numFmtId="43" fontId="23" fillId="0" borderId="0" xfId="4" applyFont="1" applyFill="1" applyBorder="1" applyAlignment="1">
      <alignment horizontal="center" vertical="center"/>
    </xf>
    <xf numFmtId="0" fontId="25" fillId="0" borderId="0" xfId="7" applyFont="1" applyAlignment="1">
      <alignment horizontal="center" vertical="center"/>
    </xf>
    <xf numFmtId="0" fontId="25" fillId="0" borderId="0" xfId="7" applyFont="1" applyAlignment="1">
      <alignment vertical="center"/>
    </xf>
    <xf numFmtId="43" fontId="25" fillId="0" borderId="0" xfId="4" applyFont="1" applyFill="1" applyBorder="1" applyAlignment="1">
      <alignment horizontal="center" vertical="center"/>
    </xf>
    <xf numFmtId="0" fontId="23" fillId="0" borderId="0" xfId="6" applyFont="1" applyFill="1" applyBorder="1" applyAlignment="1">
      <alignment horizontal="center" vertical="center"/>
    </xf>
    <xf numFmtId="0" fontId="23" fillId="0" borderId="0" xfId="2" applyFont="1" applyFill="1" applyBorder="1" applyAlignment="1">
      <alignment horizontal="center" vertical="center"/>
    </xf>
    <xf numFmtId="0" fontId="23" fillId="0" borderId="0" xfId="7" applyFont="1" applyAlignment="1">
      <alignment vertical="center"/>
    </xf>
    <xf numFmtId="0" fontId="27" fillId="0" borderId="0" xfId="7" applyFont="1" applyAlignment="1">
      <alignment vertical="center"/>
    </xf>
    <xf numFmtId="43" fontId="23" fillId="0" borderId="0" xfId="7" applyNumberFormat="1" applyFont="1" applyAlignment="1">
      <alignment horizontal="center" vertical="center"/>
    </xf>
    <xf numFmtId="43" fontId="25" fillId="0" borderId="0" xfId="7" applyNumberFormat="1" applyFont="1" applyAlignment="1">
      <alignment vertical="center"/>
    </xf>
    <xf numFmtId="43" fontId="25" fillId="0" borderId="0" xfId="7" applyNumberFormat="1" applyFont="1" applyAlignment="1">
      <alignment horizontal="center" vertical="center"/>
    </xf>
    <xf numFmtId="0" fontId="23" fillId="0" borderId="0" xfId="7" applyFont="1" applyAlignment="1">
      <alignment horizontal="center" vertical="center"/>
    </xf>
    <xf numFmtId="43" fontId="23" fillId="0" borderId="2" xfId="4" applyFont="1" applyFill="1" applyBorder="1" applyAlignment="1">
      <alignment horizontal="center" vertical="center"/>
    </xf>
    <xf numFmtId="0" fontId="25" fillId="0" borderId="2" xfId="7" applyFont="1" applyBorder="1" applyAlignment="1">
      <alignment horizontal="center" vertical="center"/>
    </xf>
    <xf numFmtId="43" fontId="25" fillId="0" borderId="2" xfId="4" applyFont="1" applyFill="1" applyBorder="1" applyAlignment="1">
      <alignment horizontal="center" vertical="center"/>
    </xf>
    <xf numFmtId="0" fontId="25" fillId="0" borderId="2" xfId="1" applyFont="1" applyFill="1" applyBorder="1" applyAlignment="1">
      <alignment horizontal="left" vertical="center"/>
    </xf>
    <xf numFmtId="14" fontId="25" fillId="0" borderId="2" xfId="7" applyNumberFormat="1" applyFont="1" applyBorder="1" applyAlignment="1">
      <alignment horizontal="center" vertical="center"/>
    </xf>
    <xf numFmtId="43" fontId="25" fillId="6" borderId="2" xfId="4" applyFont="1" applyFill="1" applyBorder="1" applyAlignment="1">
      <alignment horizontal="center" vertical="center"/>
    </xf>
    <xf numFmtId="14" fontId="25" fillId="0" borderId="2" xfId="4" applyNumberFormat="1" applyFont="1" applyFill="1" applyBorder="1" applyAlignment="1">
      <alignment horizontal="center" vertical="center"/>
    </xf>
    <xf numFmtId="0" fontId="25" fillId="0" borderId="2" xfId="1" applyFont="1" applyBorder="1" applyAlignment="1">
      <alignment horizontal="left" vertical="center"/>
    </xf>
    <xf numFmtId="43" fontId="25" fillId="0" borderId="2" xfId="4" applyFont="1" applyBorder="1" applyAlignment="1">
      <alignment horizontal="center" vertical="center"/>
    </xf>
    <xf numFmtId="0" fontId="24" fillId="0" borderId="2" xfId="7" applyFont="1" applyBorder="1" applyAlignment="1">
      <alignment vertical="center"/>
    </xf>
    <xf numFmtId="43" fontId="24" fillId="0" borderId="2" xfId="4" applyFont="1" applyFill="1" applyBorder="1" applyAlignment="1">
      <alignment horizontal="center" vertical="center"/>
    </xf>
    <xf numFmtId="164" fontId="27" fillId="0" borderId="2" xfId="7" applyNumberFormat="1" applyFont="1" applyBorder="1" applyAlignment="1">
      <alignment horizontal="center" vertical="center"/>
    </xf>
    <xf numFmtId="43" fontId="23" fillId="0" borderId="1" xfId="4" applyFont="1" applyFill="1" applyBorder="1" applyAlignment="1">
      <alignment horizontal="center" vertical="center"/>
    </xf>
    <xf numFmtId="43" fontId="23" fillId="0" borderId="18" xfId="4" applyFont="1" applyFill="1" applyBorder="1" applyAlignment="1">
      <alignment horizontal="center" vertical="center"/>
    </xf>
    <xf numFmtId="0" fontId="25" fillId="0" borderId="19" xfId="7" applyFont="1" applyBorder="1" applyAlignment="1">
      <alignment horizontal="center" vertical="center"/>
    </xf>
    <xf numFmtId="0" fontId="25" fillId="0" borderId="21" xfId="7" applyFont="1" applyBorder="1" applyAlignment="1">
      <alignment horizontal="center" vertical="center"/>
    </xf>
    <xf numFmtId="0" fontId="23" fillId="0" borderId="23" xfId="2" applyFont="1" applyFill="1" applyBorder="1" applyAlignment="1">
      <alignment horizontal="left" vertical="center"/>
    </xf>
    <xf numFmtId="43" fontId="25" fillId="0" borderId="23" xfId="4" applyFont="1" applyFill="1" applyBorder="1" applyAlignment="1">
      <alignment horizontal="center" vertical="center"/>
    </xf>
    <xf numFmtId="43" fontId="23" fillId="0" borderId="23" xfId="4" applyFont="1" applyFill="1" applyBorder="1" applyAlignment="1">
      <alignment horizontal="center" vertical="center"/>
    </xf>
    <xf numFmtId="0" fontId="25" fillId="0" borderId="24" xfId="7" applyFont="1" applyBorder="1" applyAlignment="1">
      <alignment horizontal="center" vertical="center"/>
    </xf>
    <xf numFmtId="0" fontId="11" fillId="0" borderId="0" xfId="7" applyFont="1" applyAlignment="1">
      <alignment horizontal="center" vertical="center"/>
    </xf>
    <xf numFmtId="0" fontId="11" fillId="0" borderId="0" xfId="7" applyFont="1"/>
    <xf numFmtId="0" fontId="15" fillId="0" borderId="0" xfId="7" applyFont="1"/>
    <xf numFmtId="0" fontId="28" fillId="0" borderId="0" xfId="7" applyFont="1"/>
    <xf numFmtId="9" fontId="11" fillId="0" borderId="0" xfId="7" applyNumberFormat="1" applyFont="1"/>
    <xf numFmtId="0" fontId="9" fillId="0" borderId="0" xfId="7" applyFont="1"/>
    <xf numFmtId="0" fontId="16" fillId="0" borderId="0" xfId="7" applyFont="1"/>
    <xf numFmtId="0" fontId="7" fillId="0" borderId="0" xfId="7"/>
    <xf numFmtId="43" fontId="11" fillId="0" borderId="0" xfId="7" applyNumberFormat="1" applyFont="1"/>
    <xf numFmtId="44" fontId="9" fillId="0" borderId="0" xfId="7" applyNumberFormat="1" applyFont="1" applyAlignment="1">
      <alignment horizontal="center" vertical="center"/>
    </xf>
    <xf numFmtId="0" fontId="9" fillId="0" borderId="0" xfId="7" applyFont="1" applyAlignment="1">
      <alignment horizontal="center" vertical="center"/>
    </xf>
    <xf numFmtId="0" fontId="5" fillId="0" borderId="18" xfId="3" applyFont="1" applyFill="1" applyBorder="1" applyAlignment="1">
      <alignment horizontal="center"/>
    </xf>
    <xf numFmtId="0" fontId="6" fillId="0" borderId="18" xfId="2" applyFont="1" applyFill="1" applyBorder="1" applyAlignment="1">
      <alignment horizontal="left"/>
    </xf>
    <xf numFmtId="43" fontId="8" fillId="0" borderId="18" xfId="4" applyFont="1" applyFill="1" applyBorder="1" applyAlignment="1">
      <alignment horizontal="center" vertical="center"/>
    </xf>
    <xf numFmtId="43" fontId="9" fillId="0" borderId="18" xfId="4" applyFont="1" applyFill="1" applyBorder="1" applyAlignment="1">
      <alignment horizontal="center" vertical="center"/>
    </xf>
    <xf numFmtId="0" fontId="11" fillId="0" borderId="18" xfId="7" applyFont="1" applyBorder="1" applyAlignment="1">
      <alignment horizontal="center" vertical="center"/>
    </xf>
    <xf numFmtId="0" fontId="11" fillId="0" borderId="19" xfId="7" applyFont="1" applyBorder="1" applyAlignment="1">
      <alignment horizontal="center" vertical="center"/>
    </xf>
    <xf numFmtId="0" fontId="11" fillId="0" borderId="0" xfId="7" applyFont="1" applyAlignment="1">
      <alignment horizontal="center"/>
    </xf>
    <xf numFmtId="0" fontId="11" fillId="0" borderId="21" xfId="7" applyFont="1" applyBorder="1" applyAlignment="1">
      <alignment horizontal="center" vertical="center"/>
    </xf>
    <xf numFmtId="0" fontId="11" fillId="0" borderId="23" xfId="7" applyFont="1" applyBorder="1" applyAlignment="1">
      <alignment horizontal="center"/>
    </xf>
    <xf numFmtId="0" fontId="12" fillId="0" borderId="23" xfId="2" applyFont="1" applyFill="1" applyBorder="1" applyAlignment="1">
      <alignment horizontal="left"/>
    </xf>
    <xf numFmtId="43" fontId="11" fillId="0" borderId="23" xfId="4" applyFont="1" applyFill="1" applyBorder="1" applyAlignment="1">
      <alignment horizontal="center" vertical="center"/>
    </xf>
    <xf numFmtId="43" fontId="9" fillId="0" borderId="23" xfId="4" applyFont="1" applyFill="1" applyBorder="1" applyAlignment="1">
      <alignment horizontal="center" vertical="center"/>
    </xf>
    <xf numFmtId="0" fontId="11" fillId="0" borderId="23" xfId="7" applyFont="1" applyBorder="1" applyAlignment="1">
      <alignment horizontal="center" vertical="center"/>
    </xf>
    <xf numFmtId="0" fontId="11" fillId="0" borderId="24" xfId="7" applyFont="1" applyBorder="1" applyAlignment="1">
      <alignment horizontal="center" vertical="center"/>
    </xf>
    <xf numFmtId="0" fontId="15" fillId="0" borderId="2" xfId="7" applyFont="1" applyBorder="1" applyAlignment="1">
      <alignment horizontal="center" vertical="center"/>
    </xf>
    <xf numFmtId="14" fontId="15" fillId="0" borderId="2" xfId="7" applyNumberFormat="1" applyFont="1" applyBorder="1" applyAlignment="1">
      <alignment horizontal="center" vertical="center"/>
    </xf>
    <xf numFmtId="0" fontId="19" fillId="0" borderId="2" xfId="7" applyFont="1" applyBorder="1" applyAlignment="1">
      <alignment horizontal="center" vertical="center"/>
    </xf>
    <xf numFmtId="0" fontId="15" fillId="0" borderId="2" xfId="7" applyFont="1" applyBorder="1" applyAlignment="1">
      <alignment horizontal="left" vertical="center"/>
    </xf>
    <xf numFmtId="0" fontId="16" fillId="0" borderId="2" xfId="7" applyFont="1" applyBorder="1" applyAlignment="1">
      <alignment horizontal="center" vertical="center"/>
    </xf>
    <xf numFmtId="9" fontId="21" fillId="0" borderId="2" xfId="1" applyNumberFormat="1" applyFont="1" applyFill="1" applyBorder="1" applyAlignment="1">
      <alignment horizontal="center"/>
    </xf>
    <xf numFmtId="0" fontId="21" fillId="0" borderId="2" xfId="1" applyFont="1" applyFill="1" applyBorder="1" applyAlignment="1">
      <alignment horizontal="left"/>
    </xf>
    <xf numFmtId="43" fontId="21" fillId="0" borderId="2" xfId="4" applyFont="1" applyFill="1" applyBorder="1" applyAlignment="1">
      <alignment horizontal="center" vertical="center"/>
    </xf>
    <xf numFmtId="43" fontId="21" fillId="5" borderId="2" xfId="4" applyFont="1" applyFill="1" applyBorder="1" applyAlignment="1">
      <alignment horizontal="center" vertical="center"/>
    </xf>
    <xf numFmtId="14" fontId="21" fillId="0" borderId="2" xfId="4" applyNumberFormat="1" applyFont="1" applyFill="1" applyBorder="1" applyAlignment="1">
      <alignment horizontal="center" vertical="center"/>
    </xf>
    <xf numFmtId="0" fontId="21" fillId="0" borderId="2" xfId="1" applyFont="1" applyBorder="1" applyAlignment="1">
      <alignment horizontal="left"/>
    </xf>
    <xf numFmtId="43" fontId="21" fillId="6" borderId="2" xfId="4" applyFont="1" applyFill="1" applyBorder="1" applyAlignment="1">
      <alignment horizontal="center" vertical="center"/>
    </xf>
    <xf numFmtId="14" fontId="21" fillId="0" borderId="2" xfId="7" applyNumberFormat="1" applyFont="1" applyBorder="1" applyAlignment="1">
      <alignment horizontal="center" vertical="center"/>
    </xf>
    <xf numFmtId="43" fontId="21" fillId="0" borderId="2" xfId="4" applyFont="1" applyBorder="1" applyAlignment="1">
      <alignment horizontal="center" vertical="center"/>
    </xf>
    <xf numFmtId="9" fontId="21" fillId="7" borderId="2" xfId="1" applyNumberFormat="1" applyFont="1" applyFill="1" applyBorder="1" applyAlignment="1">
      <alignment horizontal="center"/>
    </xf>
    <xf numFmtId="14" fontId="21" fillId="7" borderId="2" xfId="4" applyNumberFormat="1" applyFont="1" applyFill="1" applyBorder="1" applyAlignment="1">
      <alignment horizontal="center" vertical="center"/>
    </xf>
    <xf numFmtId="14" fontId="20" fillId="7" borderId="2" xfId="4" applyNumberFormat="1" applyFont="1" applyFill="1" applyBorder="1" applyAlignment="1">
      <alignment horizontal="center" vertical="center"/>
    </xf>
    <xf numFmtId="9" fontId="20" fillId="7" borderId="2" xfId="1" applyNumberFormat="1" applyFont="1" applyFill="1" applyBorder="1" applyAlignment="1">
      <alignment horizontal="center"/>
    </xf>
    <xf numFmtId="14" fontId="20" fillId="7" borderId="2" xfId="7" applyNumberFormat="1" applyFont="1" applyFill="1" applyBorder="1" applyAlignment="1">
      <alignment horizontal="center" vertical="center"/>
    </xf>
    <xf numFmtId="0" fontId="30" fillId="8" borderId="2" xfId="7" applyFont="1" applyFill="1" applyBorder="1" applyAlignment="1">
      <alignment horizontal="center"/>
    </xf>
    <xf numFmtId="0" fontId="31" fillId="8" borderId="2" xfId="7" applyFont="1" applyFill="1" applyBorder="1"/>
    <xf numFmtId="164" fontId="30" fillId="8" borderId="2" xfId="7" applyNumberFormat="1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left" vertical="center"/>
    </xf>
    <xf numFmtId="0" fontId="11" fillId="0" borderId="0" xfId="7" applyFont="1" applyAlignment="1">
      <alignment vertical="center"/>
    </xf>
    <xf numFmtId="0" fontId="15" fillId="0" borderId="0" xfId="7" applyFont="1" applyAlignment="1">
      <alignment vertical="center"/>
    </xf>
    <xf numFmtId="0" fontId="28" fillId="0" borderId="0" xfId="7" applyFont="1" applyAlignment="1">
      <alignment vertical="center"/>
    </xf>
    <xf numFmtId="9" fontId="11" fillId="0" borderId="0" xfId="7" applyNumberFormat="1" applyFont="1" applyAlignment="1">
      <alignment vertical="center"/>
    </xf>
    <xf numFmtId="0" fontId="9" fillId="0" borderId="0" xfId="7" applyFont="1" applyAlignment="1">
      <alignment vertical="center"/>
    </xf>
    <xf numFmtId="0" fontId="16" fillId="0" borderId="0" xfId="7" applyFont="1" applyAlignment="1">
      <alignment vertical="center"/>
    </xf>
    <xf numFmtId="43" fontId="11" fillId="0" borderId="0" xfId="7" applyNumberFormat="1" applyFont="1" applyAlignment="1">
      <alignment vertical="center"/>
    </xf>
    <xf numFmtId="0" fontId="5" fillId="0" borderId="17" xfId="3" applyFont="1" applyFill="1" applyBorder="1" applyAlignment="1">
      <alignment horizontal="left" vertical="center"/>
    </xf>
    <xf numFmtId="0" fontId="12" fillId="0" borderId="18" xfId="2" applyFont="1" applyFill="1" applyBorder="1" applyAlignment="1">
      <alignment horizontal="left" vertical="center"/>
    </xf>
    <xf numFmtId="0" fontId="11" fillId="0" borderId="20" xfId="7" applyFont="1" applyBorder="1" applyAlignment="1">
      <alignment vertical="center"/>
    </xf>
    <xf numFmtId="0" fontId="11" fillId="0" borderId="22" xfId="7" applyFont="1" applyBorder="1" applyAlignment="1">
      <alignment vertical="center"/>
    </xf>
    <xf numFmtId="0" fontId="12" fillId="0" borderId="23" xfId="2" applyFont="1" applyFill="1" applyBorder="1" applyAlignment="1">
      <alignment horizontal="left" vertical="center"/>
    </xf>
    <xf numFmtId="0" fontId="14" fillId="0" borderId="2" xfId="6" applyFont="1" applyFill="1" applyBorder="1" applyAlignment="1">
      <alignment horizontal="center" vertical="center"/>
    </xf>
    <xf numFmtId="0" fontId="14" fillId="0" borderId="2" xfId="2" applyFont="1" applyFill="1" applyBorder="1" applyAlignment="1">
      <alignment horizontal="center" vertical="center"/>
    </xf>
    <xf numFmtId="9" fontId="15" fillId="0" borderId="2" xfId="1" applyNumberFormat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left" vertical="center"/>
    </xf>
    <xf numFmtId="0" fontId="15" fillId="0" borderId="2" xfId="1" applyFont="1" applyBorder="1" applyAlignment="1">
      <alignment horizontal="left" vertical="center"/>
    </xf>
    <xf numFmtId="43" fontId="15" fillId="5" borderId="2" xfId="4" applyFont="1" applyFill="1" applyBorder="1" applyAlignment="1">
      <alignment horizontal="center" vertical="center"/>
    </xf>
    <xf numFmtId="9" fontId="21" fillId="0" borderId="2" xfId="1" applyNumberFormat="1" applyFont="1" applyFill="1" applyBorder="1" applyAlignment="1">
      <alignment horizontal="center" vertical="center"/>
    </xf>
    <xf numFmtId="0" fontId="21" fillId="0" borderId="2" xfId="1" applyFont="1" applyFill="1" applyBorder="1" applyAlignment="1">
      <alignment horizontal="left" vertical="center"/>
    </xf>
    <xf numFmtId="0" fontId="21" fillId="0" borderId="2" xfId="1" applyFont="1" applyBorder="1" applyAlignment="1">
      <alignment horizontal="left" vertical="center"/>
    </xf>
    <xf numFmtId="9" fontId="21" fillId="7" borderId="2" xfId="1" applyNumberFormat="1" applyFont="1" applyFill="1" applyBorder="1" applyAlignment="1">
      <alignment horizontal="center" vertical="center"/>
    </xf>
    <xf numFmtId="9" fontId="20" fillId="7" borderId="2" xfId="1" applyNumberFormat="1" applyFont="1" applyFill="1" applyBorder="1" applyAlignment="1">
      <alignment horizontal="center" vertical="center"/>
    </xf>
    <xf numFmtId="0" fontId="30" fillId="8" borderId="2" xfId="7" applyFont="1" applyFill="1" applyBorder="1" applyAlignment="1">
      <alignment horizontal="center" vertical="center"/>
    </xf>
    <xf numFmtId="0" fontId="31" fillId="8" borderId="2" xfId="7" applyFont="1" applyFill="1" applyBorder="1" applyAlignment="1">
      <alignment vertical="center"/>
    </xf>
    <xf numFmtId="0" fontId="26" fillId="0" borderId="0" xfId="7" applyFont="1" applyAlignment="1">
      <alignment vertical="center"/>
    </xf>
    <xf numFmtId="43" fontId="23" fillId="6" borderId="25" xfId="4" applyFont="1" applyFill="1" applyBorder="1" applyAlignment="1">
      <alignment horizontal="center" vertical="center"/>
    </xf>
    <xf numFmtId="9" fontId="25" fillId="0" borderId="0" xfId="7" applyNumberFormat="1" applyFont="1" applyAlignment="1">
      <alignment vertical="center"/>
    </xf>
    <xf numFmtId="0" fontId="32" fillId="0" borderId="0" xfId="7" applyFont="1"/>
    <xf numFmtId="0" fontId="32" fillId="0" borderId="0" xfId="7" applyFont="1" applyAlignment="1">
      <alignment vertical="center"/>
    </xf>
    <xf numFmtId="0" fontId="23" fillId="0" borderId="26" xfId="3" applyFont="1" applyFill="1" applyBorder="1" applyAlignment="1">
      <alignment horizontal="center" vertical="center"/>
    </xf>
    <xf numFmtId="43" fontId="23" fillId="0" borderId="27" xfId="4" applyFont="1" applyFill="1" applyBorder="1" applyAlignment="1">
      <alignment horizontal="center" vertical="center"/>
    </xf>
    <xf numFmtId="0" fontId="25" fillId="0" borderId="27" xfId="7" applyFont="1" applyBorder="1" applyAlignment="1">
      <alignment horizontal="center" vertical="center"/>
    </xf>
    <xf numFmtId="0" fontId="25" fillId="0" borderId="29" xfId="7" applyFont="1" applyBorder="1" applyAlignment="1">
      <alignment horizontal="center" vertical="center"/>
    </xf>
    <xf numFmtId="0" fontId="25" fillId="0" borderId="31" xfId="7" applyFont="1" applyBorder="1" applyAlignment="1">
      <alignment horizontal="center" vertical="center"/>
    </xf>
    <xf numFmtId="0" fontId="25" fillId="0" borderId="32" xfId="7" applyFont="1" applyBorder="1" applyAlignment="1">
      <alignment horizontal="center" vertical="center"/>
    </xf>
    <xf numFmtId="43" fontId="23" fillId="0" borderId="32" xfId="4" applyFont="1" applyFill="1" applyBorder="1" applyAlignment="1">
      <alignment horizontal="center" vertical="center"/>
    </xf>
    <xf numFmtId="43" fontId="23" fillId="6" borderId="25" xfId="4" applyFont="1" applyFill="1" applyBorder="1" applyAlignment="1">
      <alignment horizontal="center" vertical="center" wrapText="1"/>
    </xf>
    <xf numFmtId="9" fontId="25" fillId="0" borderId="2" xfId="1" applyNumberFormat="1" applyFont="1" applyFill="1" applyBorder="1" applyAlignment="1">
      <alignment horizontal="center" vertical="center"/>
    </xf>
    <xf numFmtId="0" fontId="25" fillId="0" borderId="2" xfId="1" applyFont="1" applyFill="1" applyBorder="1" applyAlignment="1">
      <alignment vertical="center"/>
    </xf>
    <xf numFmtId="43" fontId="25" fillId="0" borderId="2" xfId="4" applyFont="1" applyFill="1" applyBorder="1" applyAlignment="1">
      <alignment vertical="center"/>
    </xf>
    <xf numFmtId="43" fontId="25" fillId="5" borderId="2" xfId="4" applyFont="1" applyFill="1" applyBorder="1" applyAlignment="1">
      <alignment horizontal="center" vertical="center"/>
    </xf>
    <xf numFmtId="43" fontId="25" fillId="5" borderId="2" xfId="4" applyFont="1" applyFill="1" applyBorder="1" applyAlignment="1">
      <alignment vertical="center"/>
    </xf>
    <xf numFmtId="43" fontId="23" fillId="7" borderId="2" xfId="4" applyFont="1" applyFill="1" applyBorder="1" applyAlignment="1">
      <alignment horizontal="center" vertical="center"/>
    </xf>
    <xf numFmtId="14" fontId="23" fillId="7" borderId="2" xfId="4" applyNumberFormat="1" applyFont="1" applyFill="1" applyBorder="1" applyAlignment="1">
      <alignment horizontal="center" vertical="center"/>
    </xf>
    <xf numFmtId="0" fontId="23" fillId="6" borderId="25" xfId="2" applyFont="1" applyFill="1" applyBorder="1" applyAlignment="1">
      <alignment horizontal="center" vertical="center"/>
    </xf>
    <xf numFmtId="0" fontId="25" fillId="6" borderId="0" xfId="7" applyFont="1" applyFill="1" applyAlignment="1">
      <alignment vertical="center"/>
    </xf>
    <xf numFmtId="43" fontId="25" fillId="6" borderId="0" xfId="7" applyNumberFormat="1" applyFont="1" applyFill="1" applyAlignment="1">
      <alignment vertical="center"/>
    </xf>
    <xf numFmtId="0" fontId="24" fillId="8" borderId="2" xfId="7" applyFont="1" applyFill="1" applyBorder="1" applyAlignment="1">
      <alignment horizontal="center" vertical="center"/>
    </xf>
    <xf numFmtId="0" fontId="24" fillId="8" borderId="2" xfId="7" applyFont="1" applyFill="1" applyBorder="1" applyAlignment="1">
      <alignment vertical="center"/>
    </xf>
    <xf numFmtId="43" fontId="24" fillId="8" borderId="2" xfId="4" applyFont="1" applyFill="1" applyBorder="1" applyAlignment="1">
      <alignment horizontal="center" vertical="center"/>
    </xf>
    <xf numFmtId="164" fontId="24" fillId="8" borderId="2" xfId="7" applyNumberFormat="1" applyFont="1" applyFill="1" applyBorder="1" applyAlignment="1">
      <alignment horizontal="center" vertical="center"/>
    </xf>
    <xf numFmtId="9" fontId="23" fillId="7" borderId="2" xfId="1" applyNumberFormat="1" applyFont="1" applyFill="1" applyBorder="1" applyAlignment="1">
      <alignment horizontal="center" vertical="center"/>
    </xf>
    <xf numFmtId="43" fontId="27" fillId="0" borderId="0" xfId="7" applyNumberFormat="1" applyFont="1" applyAlignment="1">
      <alignment vertical="center"/>
    </xf>
    <xf numFmtId="0" fontId="11" fillId="0" borderId="2" xfId="7" applyFont="1" applyBorder="1" applyAlignment="1">
      <alignment vertical="center"/>
    </xf>
    <xf numFmtId="164" fontId="15" fillId="0" borderId="2" xfId="4" applyNumberFormat="1" applyFont="1" applyFill="1" applyBorder="1" applyAlignment="1">
      <alignment horizontal="center" vertical="center"/>
    </xf>
    <xf numFmtId="0" fontId="5" fillId="0" borderId="17" xfId="3" applyFont="1" applyFill="1" applyBorder="1" applyAlignment="1">
      <alignment horizontal="center" vertical="center"/>
    </xf>
    <xf numFmtId="0" fontId="11" fillId="0" borderId="20" xfId="7" applyFont="1" applyBorder="1" applyAlignment="1">
      <alignment horizontal="center" vertical="center"/>
    </xf>
    <xf numFmtId="0" fontId="11" fillId="0" borderId="22" xfId="7" applyFont="1" applyBorder="1" applyAlignment="1">
      <alignment horizontal="center" vertical="center"/>
    </xf>
    <xf numFmtId="9" fontId="15" fillId="7" borderId="2" xfId="1" applyNumberFormat="1" applyFont="1" applyFill="1" applyBorder="1" applyAlignment="1">
      <alignment horizontal="center" vertical="center"/>
    </xf>
    <xf numFmtId="14" fontId="15" fillId="7" borderId="2" xfId="7" applyNumberFormat="1" applyFont="1" applyFill="1" applyBorder="1" applyAlignment="1">
      <alignment horizontal="center" vertical="center"/>
    </xf>
    <xf numFmtId="9" fontId="14" fillId="7" borderId="2" xfId="1" applyNumberFormat="1" applyFont="1" applyFill="1" applyBorder="1" applyAlignment="1">
      <alignment horizontal="center" vertical="center"/>
    </xf>
    <xf numFmtId="14" fontId="14" fillId="7" borderId="2" xfId="4" applyNumberFormat="1" applyFont="1" applyFill="1" applyBorder="1" applyAlignment="1">
      <alignment horizontal="center" vertical="center"/>
    </xf>
    <xf numFmtId="14" fontId="14" fillId="7" borderId="2" xfId="7" applyNumberFormat="1" applyFont="1" applyFill="1" applyBorder="1" applyAlignment="1">
      <alignment horizontal="center" vertical="center"/>
    </xf>
    <xf numFmtId="43" fontId="11" fillId="5" borderId="2" xfId="7" applyNumberFormat="1" applyFont="1" applyFill="1" applyBorder="1" applyAlignment="1">
      <alignment vertical="center"/>
    </xf>
    <xf numFmtId="0" fontId="16" fillId="8" borderId="2" xfId="7" applyFont="1" applyFill="1" applyBorder="1" applyAlignment="1">
      <alignment horizontal="center" vertical="center"/>
    </xf>
    <xf numFmtId="43" fontId="16" fillId="0" borderId="0" xfId="7" applyNumberFormat="1" applyFont="1" applyAlignment="1">
      <alignment vertical="center"/>
    </xf>
    <xf numFmtId="0" fontId="14" fillId="7" borderId="2" xfId="7" applyFont="1" applyFill="1" applyBorder="1" applyAlignment="1">
      <alignment horizontal="center" vertical="center"/>
    </xf>
    <xf numFmtId="0" fontId="33" fillId="0" borderId="0" xfId="7" applyFont="1" applyAlignment="1">
      <alignment horizontal="right"/>
    </xf>
    <xf numFmtId="43" fontId="33" fillId="0" borderId="0" xfId="7" applyNumberFormat="1" applyFont="1"/>
    <xf numFmtId="0" fontId="33" fillId="0" borderId="14" xfId="7" applyFont="1" applyBorder="1" applyAlignment="1">
      <alignment horizontal="right"/>
    </xf>
    <xf numFmtId="43" fontId="33" fillId="0" borderId="14" xfId="7" applyNumberFormat="1" applyFont="1" applyBorder="1"/>
    <xf numFmtId="0" fontId="7" fillId="0" borderId="0" xfId="7" applyAlignment="1">
      <alignment horizontal="right"/>
    </xf>
    <xf numFmtId="0" fontId="14" fillId="0" borderId="0" xfId="6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center" vertical="center"/>
    </xf>
    <xf numFmtId="43" fontId="14" fillId="7" borderId="2" xfId="7" applyNumberFormat="1" applyFont="1" applyFill="1" applyBorder="1" applyAlignment="1">
      <alignment horizontal="center" vertical="center"/>
    </xf>
    <xf numFmtId="0" fontId="29" fillId="8" borderId="2" xfId="7" applyFont="1" applyFill="1" applyBorder="1" applyAlignment="1">
      <alignment horizontal="center" vertical="center"/>
    </xf>
    <xf numFmtId="0" fontId="17" fillId="8" borderId="2" xfId="7" applyFont="1" applyFill="1" applyBorder="1" applyAlignment="1">
      <alignment vertical="center"/>
    </xf>
    <xf numFmtId="164" fontId="29" fillId="8" borderId="2" xfId="7" applyNumberFormat="1" applyFont="1" applyFill="1" applyBorder="1" applyAlignment="1">
      <alignment horizontal="center" vertical="center"/>
    </xf>
    <xf numFmtId="0" fontId="36" fillId="0" borderId="0" xfId="7" applyFont="1" applyAlignment="1">
      <alignment vertical="center"/>
    </xf>
    <xf numFmtId="43" fontId="23" fillId="5" borderId="0" xfId="4" applyFont="1" applyFill="1" applyBorder="1" applyAlignment="1">
      <alignment horizontal="center" vertical="center"/>
    </xf>
    <xf numFmtId="0" fontId="37" fillId="0" borderId="0" xfId="7" applyFont="1" applyAlignment="1">
      <alignment vertical="center"/>
    </xf>
    <xf numFmtId="0" fontId="25" fillId="0" borderId="0" xfId="7" applyFont="1"/>
    <xf numFmtId="0" fontId="34" fillId="0" borderId="18" xfId="3" applyFont="1" applyFill="1" applyBorder="1" applyAlignment="1">
      <alignment horizontal="center" vertical="center"/>
    </xf>
    <xf numFmtId="43" fontId="35" fillId="0" borderId="18" xfId="4" applyFont="1" applyFill="1" applyBorder="1" applyAlignment="1">
      <alignment horizontal="center" vertical="center"/>
    </xf>
    <xf numFmtId="0" fontId="25" fillId="0" borderId="18" xfId="7" applyFont="1" applyBorder="1" applyAlignment="1">
      <alignment horizontal="center" vertical="center"/>
    </xf>
    <xf numFmtId="0" fontId="25" fillId="0" borderId="23" xfId="7" applyFont="1" applyBorder="1" applyAlignment="1">
      <alignment horizontal="center" vertical="center"/>
    </xf>
    <xf numFmtId="164" fontId="25" fillId="0" borderId="2" xfId="4" applyNumberFormat="1" applyFont="1" applyFill="1" applyBorder="1" applyAlignment="1">
      <alignment horizontal="center" vertical="center"/>
    </xf>
    <xf numFmtId="0" fontId="23" fillId="7" borderId="2" xfId="7" applyFont="1" applyFill="1" applyBorder="1" applyAlignment="1">
      <alignment horizontal="center" vertical="center"/>
    </xf>
    <xf numFmtId="43" fontId="23" fillId="7" borderId="2" xfId="7" applyNumberFormat="1" applyFont="1" applyFill="1" applyBorder="1" applyAlignment="1">
      <alignment horizontal="center" vertical="center"/>
    </xf>
    <xf numFmtId="43" fontId="14" fillId="8" borderId="2" xfId="4" applyFont="1" applyFill="1" applyBorder="1" applyAlignment="1">
      <alignment horizontal="center" vertical="center"/>
    </xf>
    <xf numFmtId="43" fontId="20" fillId="8" borderId="2" xfId="4" applyFont="1" applyFill="1" applyBorder="1" applyAlignment="1">
      <alignment horizontal="center" vertical="center"/>
    </xf>
    <xf numFmtId="43" fontId="23" fillId="5" borderId="2" xfId="4" applyFont="1" applyFill="1" applyBorder="1" applyAlignment="1">
      <alignment horizontal="center" vertical="center"/>
    </xf>
    <xf numFmtId="43" fontId="0" fillId="0" borderId="0" xfId="0" applyNumberFormat="1"/>
    <xf numFmtId="0" fontId="25" fillId="0" borderId="2" xfId="7" applyNumberFormat="1" applyFont="1" applyBorder="1" applyAlignment="1">
      <alignment horizontal="center" vertical="center"/>
    </xf>
    <xf numFmtId="0" fontId="15" fillId="0" borderId="2" xfId="4" applyNumberFormat="1" applyFont="1" applyFill="1" applyBorder="1" applyAlignment="1">
      <alignment horizontal="center" vertical="center"/>
    </xf>
    <xf numFmtId="0" fontId="15" fillId="7" borderId="2" xfId="4" applyNumberFormat="1" applyFont="1" applyFill="1" applyBorder="1" applyAlignment="1">
      <alignment horizontal="center" vertical="center"/>
    </xf>
    <xf numFmtId="0" fontId="14" fillId="7" borderId="2" xfId="4" applyNumberFormat="1" applyFont="1" applyFill="1" applyBorder="1" applyAlignment="1">
      <alignment horizontal="center" vertical="center"/>
    </xf>
    <xf numFmtId="164" fontId="29" fillId="8" borderId="2" xfId="5" applyNumberFormat="1" applyFont="1" applyFill="1" applyBorder="1" applyAlignment="1">
      <alignment horizontal="center" vertical="center"/>
    </xf>
    <xf numFmtId="14" fontId="14" fillId="8" borderId="2" xfId="4" applyNumberFormat="1" applyFont="1" applyFill="1" applyBorder="1" applyAlignment="1">
      <alignment horizontal="center" vertical="center"/>
    </xf>
    <xf numFmtId="165" fontId="15" fillId="0" borderId="2" xfId="4" applyNumberFormat="1" applyFont="1" applyFill="1" applyBorder="1" applyAlignment="1">
      <alignment horizontal="center" vertical="center"/>
    </xf>
    <xf numFmtId="165" fontId="14" fillId="8" borderId="2" xfId="4" applyNumberFormat="1" applyFont="1" applyFill="1" applyBorder="1" applyAlignment="1">
      <alignment horizontal="center" vertical="center"/>
    </xf>
    <xf numFmtId="0" fontId="21" fillId="0" borderId="2" xfId="4" applyNumberFormat="1" applyFont="1" applyFill="1" applyBorder="1" applyAlignment="1">
      <alignment horizontal="center" vertical="center"/>
    </xf>
    <xf numFmtId="0" fontId="21" fillId="0" borderId="2" xfId="7" applyNumberFormat="1" applyFont="1" applyBorder="1" applyAlignment="1">
      <alignment horizontal="center" vertical="center"/>
    </xf>
    <xf numFmtId="0" fontId="21" fillId="7" borderId="2" xfId="4" applyNumberFormat="1" applyFont="1" applyFill="1" applyBorder="1" applyAlignment="1">
      <alignment horizontal="center" vertical="center"/>
    </xf>
    <xf numFmtId="43" fontId="20" fillId="7" borderId="2" xfId="7" applyNumberFormat="1" applyFont="1" applyFill="1" applyBorder="1" applyAlignment="1">
      <alignment horizontal="center" vertical="center"/>
    </xf>
    <xf numFmtId="0" fontId="25" fillId="0" borderId="2" xfId="4" applyNumberFormat="1" applyFont="1" applyFill="1" applyBorder="1" applyAlignment="1">
      <alignment horizontal="center" vertical="center"/>
    </xf>
    <xf numFmtId="4" fontId="23" fillId="7" borderId="2" xfId="4" applyNumberFormat="1" applyFont="1" applyFill="1" applyBorder="1" applyAlignment="1">
      <alignment horizontal="center" vertical="center"/>
    </xf>
    <xf numFmtId="4" fontId="24" fillId="8" borderId="2" xfId="7" applyNumberFormat="1" applyFont="1" applyFill="1" applyBorder="1" applyAlignment="1">
      <alignment horizontal="center" vertical="center"/>
    </xf>
    <xf numFmtId="43" fontId="25" fillId="0" borderId="2" xfId="7" applyNumberFormat="1" applyFont="1" applyBorder="1" applyAlignment="1">
      <alignment horizontal="center" vertical="center"/>
    </xf>
    <xf numFmtId="0" fontId="25" fillId="7" borderId="2" xfId="4" applyNumberFormat="1" applyFont="1" applyFill="1" applyBorder="1" applyAlignment="1">
      <alignment horizontal="center" vertical="center"/>
    </xf>
    <xf numFmtId="4" fontId="25" fillId="7" borderId="2" xfId="4" applyNumberFormat="1" applyFont="1" applyFill="1" applyBorder="1" applyAlignment="1">
      <alignment horizontal="center" vertical="center"/>
    </xf>
    <xf numFmtId="0" fontId="23" fillId="7" borderId="2" xfId="4" applyNumberFormat="1" applyFont="1" applyFill="1" applyBorder="1" applyAlignment="1">
      <alignment horizontal="center" vertical="center"/>
    </xf>
    <xf numFmtId="14" fontId="25" fillId="7" borderId="2" xfId="7" applyNumberFormat="1" applyFont="1" applyFill="1" applyBorder="1" applyAlignment="1">
      <alignment horizontal="center" vertical="center"/>
    </xf>
    <xf numFmtId="0" fontId="0" fillId="0" borderId="2" xfId="0" applyBorder="1"/>
    <xf numFmtId="0" fontId="0" fillId="0" borderId="34" xfId="0" applyBorder="1"/>
    <xf numFmtId="0" fontId="0" fillId="0" borderId="10" xfId="0" applyBorder="1"/>
    <xf numFmtId="43" fontId="25" fillId="0" borderId="24" xfId="4" applyFont="1" applyFill="1" applyBorder="1" applyAlignment="1">
      <alignment horizontal="center" vertical="center"/>
    </xf>
    <xf numFmtId="0" fontId="23" fillId="0" borderId="0" xfId="3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25" fillId="6" borderId="0" xfId="1" applyFont="1" applyFill="1" applyBorder="1" applyAlignment="1">
      <alignment horizontal="center" vertical="center"/>
    </xf>
    <xf numFmtId="0" fontId="27" fillId="0" borderId="0" xfId="7" applyFont="1" applyAlignment="1">
      <alignment horizontal="center" vertical="center"/>
    </xf>
    <xf numFmtId="0" fontId="23" fillId="0" borderId="2" xfId="2" applyFont="1" applyFill="1" applyBorder="1" applyAlignment="1">
      <alignment horizontal="center" vertical="center"/>
    </xf>
    <xf numFmtId="0" fontId="5" fillId="0" borderId="17" xfId="3" applyFont="1" applyFill="1" applyBorder="1" applyAlignment="1">
      <alignment horizontal="center"/>
    </xf>
    <xf numFmtId="0" fontId="11" fillId="0" borderId="18" xfId="5" applyFont="1" applyBorder="1" applyAlignment="1">
      <alignment horizontal="center" vertical="center"/>
    </xf>
    <xf numFmtId="0" fontId="11" fillId="0" borderId="20" xfId="5" applyFont="1" applyBorder="1" applyAlignment="1">
      <alignment horizontal="center"/>
    </xf>
    <xf numFmtId="0" fontId="6" fillId="0" borderId="17" xfId="2" applyFont="1" applyFill="1" applyBorder="1" applyAlignment="1">
      <alignment horizontal="left"/>
    </xf>
    <xf numFmtId="43" fontId="8" fillId="0" borderId="19" xfId="4" applyFont="1" applyFill="1" applyBorder="1" applyAlignment="1">
      <alignment horizontal="center" vertical="center"/>
    </xf>
    <xf numFmtId="0" fontId="12" fillId="0" borderId="20" xfId="2" applyFont="1" applyFill="1" applyBorder="1" applyAlignment="1">
      <alignment horizontal="left"/>
    </xf>
    <xf numFmtId="43" fontId="11" fillId="0" borderId="21" xfId="4" applyFont="1" applyFill="1" applyBorder="1" applyAlignment="1">
      <alignment horizontal="center" vertical="center"/>
    </xf>
    <xf numFmtId="0" fontId="12" fillId="0" borderId="22" xfId="2" applyFont="1" applyFill="1" applyBorder="1" applyAlignment="1">
      <alignment horizontal="left"/>
    </xf>
    <xf numFmtId="43" fontId="11" fillId="0" borderId="24" xfId="4" applyFont="1" applyFill="1" applyBorder="1" applyAlignment="1">
      <alignment horizontal="center" vertical="center"/>
    </xf>
    <xf numFmtId="43" fontId="14" fillId="0" borderId="10" xfId="4" applyFont="1" applyFill="1" applyBorder="1" applyAlignment="1">
      <alignment horizontal="center" vertical="center"/>
    </xf>
    <xf numFmtId="0" fontId="15" fillId="0" borderId="10" xfId="7" applyFont="1" applyBorder="1" applyAlignment="1">
      <alignment horizontal="center" vertical="center"/>
    </xf>
    <xf numFmtId="0" fontId="16" fillId="0" borderId="10" xfId="7" applyFont="1" applyBorder="1" applyAlignment="1">
      <alignment horizontal="center" vertical="center"/>
    </xf>
    <xf numFmtId="0" fontId="11" fillId="0" borderId="20" xfId="7" applyFont="1" applyBorder="1" applyAlignment="1">
      <alignment horizontal="center"/>
    </xf>
    <xf numFmtId="0" fontId="11" fillId="0" borderId="22" xfId="7" applyFont="1" applyBorder="1" applyAlignment="1">
      <alignment horizontal="center"/>
    </xf>
    <xf numFmtId="0" fontId="12" fillId="0" borderId="17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4" fillId="0" borderId="34" xfId="6" applyFont="1" applyFill="1" applyBorder="1" applyAlignment="1">
      <alignment horizontal="center" vertical="center"/>
    </xf>
    <xf numFmtId="0" fontId="15" fillId="0" borderId="34" xfId="1" applyFont="1" applyFill="1" applyBorder="1" applyAlignment="1">
      <alignment horizontal="right" vertical="center"/>
    </xf>
    <xf numFmtId="0" fontId="19" fillId="0" borderId="34" xfId="1" applyFont="1" applyFill="1" applyBorder="1" applyAlignment="1">
      <alignment horizontal="right" vertical="center"/>
    </xf>
    <xf numFmtId="0" fontId="15" fillId="6" borderId="34" xfId="1" applyFont="1" applyFill="1" applyBorder="1" applyAlignment="1">
      <alignment horizontal="right" vertical="center"/>
    </xf>
    <xf numFmtId="0" fontId="16" fillId="0" borderId="34" xfId="7" applyFont="1" applyBorder="1" applyAlignment="1">
      <alignment vertical="center"/>
    </xf>
    <xf numFmtId="0" fontId="24" fillId="0" borderId="26" xfId="2" applyFont="1" applyFill="1" applyBorder="1" applyAlignment="1">
      <alignment horizontal="left" vertical="center"/>
    </xf>
    <xf numFmtId="43" fontId="23" fillId="0" borderId="28" xfId="4" applyFont="1" applyFill="1" applyBorder="1" applyAlignment="1">
      <alignment horizontal="center" vertical="center"/>
    </xf>
    <xf numFmtId="0" fontId="24" fillId="0" borderId="29" xfId="2" applyFont="1" applyFill="1" applyBorder="1" applyAlignment="1">
      <alignment horizontal="left" vertical="center"/>
    </xf>
    <xf numFmtId="43" fontId="25" fillId="0" borderId="30" xfId="4" applyFont="1" applyFill="1" applyBorder="1" applyAlignment="1">
      <alignment horizontal="center" vertical="center"/>
    </xf>
    <xf numFmtId="0" fontId="23" fillId="0" borderId="31" xfId="2" applyFont="1" applyFill="1" applyBorder="1" applyAlignment="1">
      <alignment horizontal="left" vertical="center"/>
    </xf>
    <xf numFmtId="43" fontId="25" fillId="0" borderId="33" xfId="4" applyFont="1" applyFill="1" applyBorder="1" applyAlignment="1">
      <alignment horizontal="center" vertical="center"/>
    </xf>
    <xf numFmtId="0" fontId="23" fillId="6" borderId="35" xfId="6" applyFont="1" applyFill="1" applyBorder="1" applyAlignment="1">
      <alignment horizontal="center" vertical="center"/>
    </xf>
    <xf numFmtId="43" fontId="23" fillId="0" borderId="36" xfId="4" applyFont="1" applyFill="1" applyBorder="1" applyAlignment="1">
      <alignment horizontal="center" vertical="center"/>
    </xf>
    <xf numFmtId="43" fontId="25" fillId="0" borderId="38" xfId="4" applyFont="1" applyFill="1" applyBorder="1" applyAlignment="1">
      <alignment horizontal="center" vertical="center"/>
    </xf>
    <xf numFmtId="9" fontId="25" fillId="0" borderId="37" xfId="1" applyNumberFormat="1" applyFont="1" applyFill="1" applyBorder="1" applyAlignment="1">
      <alignment horizontal="center" vertical="center"/>
    </xf>
    <xf numFmtId="9" fontId="23" fillId="0" borderId="37" xfId="1" applyNumberFormat="1" applyFont="1" applyFill="1" applyBorder="1" applyAlignment="1">
      <alignment horizontal="center" vertical="center"/>
    </xf>
    <xf numFmtId="9" fontId="23" fillId="7" borderId="37" xfId="1" applyNumberFormat="1" applyFont="1" applyFill="1" applyBorder="1" applyAlignment="1">
      <alignment horizontal="center" vertical="center"/>
    </xf>
    <xf numFmtId="0" fontId="24" fillId="8" borderId="39" xfId="7" applyFont="1" applyFill="1" applyBorder="1" applyAlignment="1">
      <alignment horizontal="center" vertical="center"/>
    </xf>
    <xf numFmtId="0" fontId="24" fillId="8" borderId="40" xfId="7" applyFont="1" applyFill="1" applyBorder="1" applyAlignment="1">
      <alignment vertical="center"/>
    </xf>
    <xf numFmtId="43" fontId="24" fillId="8" borderId="40" xfId="4" applyFont="1" applyFill="1" applyBorder="1" applyAlignment="1">
      <alignment horizontal="center" vertical="center"/>
    </xf>
    <xf numFmtId="43" fontId="23" fillId="8" borderId="40" xfId="4" applyFont="1" applyFill="1" applyBorder="1" applyAlignment="1">
      <alignment horizontal="center" vertical="center"/>
    </xf>
    <xf numFmtId="164" fontId="24" fillId="8" borderId="40" xfId="7" applyNumberFormat="1" applyFont="1" applyFill="1" applyBorder="1" applyAlignment="1">
      <alignment horizontal="center" vertical="center"/>
    </xf>
    <xf numFmtId="0" fontId="14" fillId="7" borderId="10" xfId="7" applyFont="1" applyFill="1" applyBorder="1" applyAlignment="1">
      <alignment horizontal="center" vertical="center"/>
    </xf>
    <xf numFmtId="0" fontId="14" fillId="7" borderId="34" xfId="1" applyFont="1" applyFill="1" applyBorder="1" applyAlignment="1">
      <alignment horizontal="right" vertical="center"/>
    </xf>
    <xf numFmtId="0" fontId="14" fillId="0" borderId="20" xfId="6" applyFont="1" applyFill="1" applyBorder="1" applyAlignment="1">
      <alignment horizontal="center" vertical="center"/>
    </xf>
    <xf numFmtId="0" fontId="24" fillId="0" borderId="17" xfId="2" applyFont="1" applyFill="1" applyBorder="1" applyAlignment="1">
      <alignment horizontal="left" vertical="center"/>
    </xf>
    <xf numFmtId="43" fontId="35" fillId="0" borderId="19" xfId="4" applyFont="1" applyFill="1" applyBorder="1" applyAlignment="1">
      <alignment horizontal="center" vertical="center"/>
    </xf>
    <xf numFmtId="0" fontId="24" fillId="0" borderId="20" xfId="2" applyFont="1" applyFill="1" applyBorder="1" applyAlignment="1">
      <alignment horizontal="left" vertical="center"/>
    </xf>
    <xf numFmtId="43" fontId="25" fillId="0" borderId="21" xfId="4" applyFont="1" applyFill="1" applyBorder="1" applyAlignment="1">
      <alignment horizontal="center" vertical="center"/>
    </xf>
    <xf numFmtId="0" fontId="24" fillId="0" borderId="22" xfId="2" applyFont="1" applyFill="1" applyBorder="1" applyAlignment="1">
      <alignment horizontal="left" vertical="center"/>
    </xf>
    <xf numFmtId="14" fontId="25" fillId="0" borderId="0" xfId="4" applyNumberFormat="1" applyFont="1" applyFill="1" applyBorder="1" applyAlignment="1">
      <alignment horizontal="center" vertical="center"/>
    </xf>
    <xf numFmtId="14" fontId="25" fillId="0" borderId="0" xfId="0" applyNumberFormat="1" applyFont="1" applyAlignment="1">
      <alignment horizontal="center" vertical="center"/>
    </xf>
    <xf numFmtId="43" fontId="14" fillId="0" borderId="41" xfId="4" applyFont="1" applyFill="1" applyBorder="1" applyAlignment="1">
      <alignment horizontal="center" vertical="center"/>
    </xf>
    <xf numFmtId="14" fontId="25" fillId="0" borderId="2" xfId="0" applyNumberFormat="1" applyFont="1" applyBorder="1" applyAlignment="1">
      <alignment horizontal="center" vertical="center"/>
    </xf>
    <xf numFmtId="43" fontId="23" fillId="7" borderId="1" xfId="4" applyFont="1" applyFill="1" applyBorder="1" applyAlignment="1">
      <alignment horizontal="center" vertical="center"/>
    </xf>
    <xf numFmtId="9" fontId="23" fillId="0" borderId="2" xfId="1" applyNumberFormat="1" applyFont="1" applyFill="1" applyBorder="1" applyAlignment="1">
      <alignment horizontal="center" vertical="center"/>
    </xf>
    <xf numFmtId="43" fontId="23" fillId="7" borderId="42" xfId="4" applyFont="1" applyFill="1" applyBorder="1" applyAlignment="1">
      <alignment horizontal="center" vertical="center"/>
    </xf>
    <xf numFmtId="43" fontId="23" fillId="7" borderId="42" xfId="7" applyNumberFormat="1" applyFont="1" applyFill="1" applyBorder="1" applyAlignment="1">
      <alignment horizontal="center" vertical="center"/>
    </xf>
    <xf numFmtId="43" fontId="23" fillId="0" borderId="2" xfId="7" applyNumberFormat="1" applyFont="1" applyBorder="1" applyAlignment="1">
      <alignment horizontal="center" vertical="center"/>
    </xf>
    <xf numFmtId="43" fontId="25" fillId="7" borderId="2" xfId="4" applyFont="1" applyFill="1" applyBorder="1" applyAlignment="1">
      <alignment horizontal="center" vertical="center"/>
    </xf>
    <xf numFmtId="9" fontId="25" fillId="0" borderId="41" xfId="1" applyNumberFormat="1" applyFont="1" applyFill="1" applyBorder="1" applyAlignment="1">
      <alignment horizontal="center" vertical="center"/>
    </xf>
    <xf numFmtId="0" fontId="25" fillId="0" borderId="41" xfId="1" applyFont="1" applyBorder="1" applyAlignment="1">
      <alignment horizontal="left" vertical="center"/>
    </xf>
    <xf numFmtId="43" fontId="25" fillId="0" borderId="41" xfId="4" applyFont="1" applyFill="1" applyBorder="1" applyAlignment="1">
      <alignment horizontal="center" vertical="center"/>
    </xf>
    <xf numFmtId="14" fontId="25" fillId="0" borderId="41" xfId="4" applyNumberFormat="1" applyFont="1" applyFill="1" applyBorder="1" applyAlignment="1">
      <alignment horizontal="center" vertical="center"/>
    </xf>
    <xf numFmtId="14" fontId="25" fillId="0" borderId="41" xfId="7" applyNumberFormat="1" applyFont="1" applyBorder="1" applyAlignment="1">
      <alignment horizontal="center" vertical="center"/>
    </xf>
    <xf numFmtId="14" fontId="25" fillId="7" borderId="42" xfId="7" applyNumberFormat="1" applyFont="1" applyFill="1" applyBorder="1" applyAlignment="1">
      <alignment horizontal="center" vertical="center"/>
    </xf>
    <xf numFmtId="0" fontId="23" fillId="0" borderId="2" xfId="7" applyNumberFormat="1" applyFont="1" applyBorder="1" applyAlignment="1">
      <alignment horizontal="center" vertical="center"/>
    </xf>
    <xf numFmtId="43" fontId="25" fillId="8" borderId="2" xfId="4" applyFont="1" applyFill="1" applyBorder="1" applyAlignment="1">
      <alignment horizontal="center" vertical="center"/>
    </xf>
    <xf numFmtId="43" fontId="23" fillId="8" borderId="2" xfId="4" applyFont="1" applyFill="1" applyBorder="1" applyAlignment="1">
      <alignment horizontal="center" vertical="center"/>
    </xf>
    <xf numFmtId="43" fontId="25" fillId="7" borderId="41" xfId="4" applyFont="1" applyFill="1" applyBorder="1" applyAlignment="1">
      <alignment horizontal="center" vertical="center"/>
    </xf>
    <xf numFmtId="9" fontId="23" fillId="0" borderId="34" xfId="1" applyNumberFormat="1" applyFont="1" applyFill="1" applyBorder="1" applyAlignment="1">
      <alignment horizontal="center" vertical="center"/>
    </xf>
    <xf numFmtId="9" fontId="25" fillId="0" borderId="34" xfId="1" applyNumberFormat="1" applyFont="1" applyFill="1" applyBorder="1" applyAlignment="1">
      <alignment horizontal="center" vertical="center"/>
    </xf>
    <xf numFmtId="43" fontId="23" fillId="0" borderId="10" xfId="4" applyFont="1" applyFill="1" applyBorder="1" applyAlignment="1">
      <alignment horizontal="center" vertical="center"/>
    </xf>
    <xf numFmtId="0" fontId="25" fillId="0" borderId="43" xfId="1" applyFont="1" applyFill="1" applyBorder="1" applyAlignment="1">
      <alignment horizontal="left" vertical="center"/>
    </xf>
    <xf numFmtId="43" fontId="25" fillId="0" borderId="43" xfId="4" applyFont="1" applyFill="1" applyBorder="1" applyAlignment="1">
      <alignment horizontal="center" vertical="center"/>
    </xf>
    <xf numFmtId="43" fontId="25" fillId="6" borderId="43" xfId="4" applyFont="1" applyFill="1" applyBorder="1" applyAlignment="1">
      <alignment horizontal="center" vertical="center"/>
    </xf>
    <xf numFmtId="0" fontId="25" fillId="0" borderId="43" xfId="1" applyFont="1" applyBorder="1" applyAlignment="1">
      <alignment horizontal="left" vertical="center"/>
    </xf>
    <xf numFmtId="43" fontId="25" fillId="0" borderId="43" xfId="4" applyFont="1" applyBorder="1" applyAlignment="1">
      <alignment horizontal="center" vertical="center"/>
    </xf>
    <xf numFmtId="43" fontId="23" fillId="0" borderId="42" xfId="7" applyNumberFormat="1" applyFont="1" applyBorder="1" applyAlignment="1">
      <alignment horizontal="center" vertical="center"/>
    </xf>
    <xf numFmtId="14" fontId="25" fillId="0" borderId="42" xfId="7" applyNumberFormat="1" applyFont="1" applyBorder="1" applyAlignment="1">
      <alignment horizontal="center" vertical="center"/>
    </xf>
    <xf numFmtId="43" fontId="20" fillId="7" borderId="1" xfId="4" applyFont="1" applyFill="1" applyBorder="1" applyAlignment="1">
      <alignment horizontal="center" vertical="center"/>
    </xf>
    <xf numFmtId="14" fontId="20" fillId="7" borderId="1" xfId="4" applyNumberFormat="1" applyFont="1" applyFill="1" applyBorder="1" applyAlignment="1">
      <alignment horizontal="center" vertical="center"/>
    </xf>
    <xf numFmtId="43" fontId="20" fillId="7" borderId="42" xfId="4" applyFont="1" applyFill="1" applyBorder="1" applyAlignment="1">
      <alignment horizontal="center" vertical="center"/>
    </xf>
    <xf numFmtId="14" fontId="20" fillId="7" borderId="42" xfId="7" applyNumberFormat="1" applyFont="1" applyFill="1" applyBorder="1" applyAlignment="1">
      <alignment horizontal="center" vertical="center"/>
    </xf>
    <xf numFmtId="43" fontId="21" fillId="0" borderId="10" xfId="4" applyFont="1" applyFill="1" applyBorder="1" applyAlignment="1">
      <alignment horizontal="center" vertical="center"/>
    </xf>
    <xf numFmtId="43" fontId="20" fillId="7" borderId="10" xfId="4" applyFont="1" applyFill="1" applyBorder="1" applyAlignment="1">
      <alignment horizontal="center" vertical="center"/>
    </xf>
    <xf numFmtId="43" fontId="20" fillId="7" borderId="10" xfId="7" applyNumberFormat="1" applyFont="1" applyFill="1" applyBorder="1" applyAlignment="1">
      <alignment horizontal="center" vertical="center"/>
    </xf>
    <xf numFmtId="164" fontId="30" fillId="8" borderId="10" xfId="7" applyNumberFormat="1" applyFont="1" applyFill="1" applyBorder="1" applyAlignment="1">
      <alignment horizontal="center" vertical="center"/>
    </xf>
    <xf numFmtId="14" fontId="25" fillId="0" borderId="14" xfId="4" applyNumberFormat="1" applyFont="1" applyFill="1" applyBorder="1" applyAlignment="1">
      <alignment horizontal="center" vertical="center"/>
    </xf>
    <xf numFmtId="4" fontId="0" fillId="0" borderId="2" xfId="0" applyNumberFormat="1" applyBorder="1"/>
    <xf numFmtId="0" fontId="0" fillId="0" borderId="18" xfId="0" applyBorder="1"/>
    <xf numFmtId="0" fontId="1" fillId="0" borderId="4" xfId="0" applyFont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10" fontId="25" fillId="0" borderId="2" xfId="7" applyNumberFormat="1" applyFont="1" applyBorder="1" applyAlignment="1">
      <alignment horizontal="center" vertical="center"/>
    </xf>
    <xf numFmtId="2" fontId="25" fillId="0" borderId="2" xfId="7" applyNumberFormat="1" applyFont="1" applyBorder="1" applyAlignment="1">
      <alignment horizontal="center" vertical="center"/>
    </xf>
    <xf numFmtId="10" fontId="21" fillId="0" borderId="2" xfId="4" applyNumberFormat="1" applyFont="1" applyFill="1" applyBorder="1" applyAlignment="1">
      <alignment horizontal="center" vertical="center"/>
    </xf>
    <xf numFmtId="165" fontId="15" fillId="7" borderId="2" xfId="4" applyNumberFormat="1" applyFont="1" applyFill="1" applyBorder="1" applyAlignment="1">
      <alignment horizontal="center" vertical="center"/>
    </xf>
    <xf numFmtId="43" fontId="23" fillId="0" borderId="24" xfId="4" applyFont="1" applyFill="1" applyBorder="1" applyAlignment="1">
      <alignment horizontal="center" vertical="center"/>
    </xf>
    <xf numFmtId="10" fontId="21" fillId="0" borderId="10" xfId="4" applyNumberFormat="1" applyFont="1" applyFill="1" applyBorder="1" applyAlignment="1">
      <alignment horizontal="center" vertical="center"/>
    </xf>
    <xf numFmtId="10" fontId="25" fillId="0" borderId="38" xfId="4" applyNumberFormat="1" applyFont="1" applyFill="1" applyBorder="1" applyAlignment="1">
      <alignment horizontal="center" vertical="center"/>
    </xf>
    <xf numFmtId="43" fontId="15" fillId="0" borderId="10" xfId="4" applyFont="1" applyFill="1" applyBorder="1" applyAlignment="1">
      <alignment horizontal="center" vertical="center"/>
    </xf>
    <xf numFmtId="43" fontId="14" fillId="7" borderId="10" xfId="7" applyNumberFormat="1" applyFont="1" applyFill="1" applyBorder="1" applyAlignment="1">
      <alignment horizontal="center" vertical="center"/>
    </xf>
    <xf numFmtId="43" fontId="14" fillId="7" borderId="10" xfId="4" applyFont="1" applyFill="1" applyBorder="1" applyAlignment="1">
      <alignment horizontal="center" vertical="center"/>
    </xf>
    <xf numFmtId="164" fontId="29" fillId="8" borderId="10" xfId="7" applyNumberFormat="1" applyFont="1" applyFill="1" applyBorder="1" applyAlignment="1">
      <alignment horizontal="center" vertical="center"/>
    </xf>
    <xf numFmtId="10" fontId="15" fillId="0" borderId="10" xfId="4" applyNumberFormat="1" applyFont="1" applyFill="1" applyBorder="1" applyAlignment="1">
      <alignment horizontal="center" vertical="center"/>
    </xf>
    <xf numFmtId="10" fontId="15" fillId="0" borderId="10" xfId="7" applyNumberFormat="1" applyFont="1" applyBorder="1" applyAlignment="1">
      <alignment horizontal="center" vertical="center"/>
    </xf>
    <xf numFmtId="43" fontId="15" fillId="7" borderId="10" xfId="4" applyFont="1" applyFill="1" applyBorder="1" applyAlignment="1">
      <alignment horizontal="center" vertical="center"/>
    </xf>
    <xf numFmtId="10" fontId="0" fillId="0" borderId="9" xfId="0" applyNumberFormat="1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43" fontId="0" fillId="0" borderId="56" xfId="0" applyNumberFormat="1" applyBorder="1"/>
    <xf numFmtId="43" fontId="0" fillId="0" borderId="54" xfId="0" applyNumberFormat="1" applyBorder="1"/>
    <xf numFmtId="0" fontId="0" fillId="0" borderId="57" xfId="0" applyBorder="1"/>
    <xf numFmtId="43" fontId="0" fillId="0" borderId="58" xfId="0" applyNumberFormat="1" applyBorder="1"/>
    <xf numFmtId="0" fontId="0" fillId="0" borderId="59" xfId="0" applyBorder="1"/>
    <xf numFmtId="43" fontId="0" fillId="0" borderId="60" xfId="0" applyNumberFormat="1" applyBorder="1"/>
    <xf numFmtId="43" fontId="1" fillId="0" borderId="5" xfId="0" applyNumberFormat="1" applyFont="1" applyBorder="1"/>
    <xf numFmtId="9" fontId="0" fillId="0" borderId="9" xfId="0" applyNumberFormat="1" applyBorder="1"/>
    <xf numFmtId="43" fontId="15" fillId="0" borderId="10" xfId="7" applyNumberFormat="1" applyFont="1" applyBorder="1" applyAlignment="1">
      <alignment horizontal="center" vertical="center"/>
    </xf>
    <xf numFmtId="10" fontId="15" fillId="7" borderId="10" xfId="4" applyNumberFormat="1" applyFont="1" applyFill="1" applyBorder="1" applyAlignment="1">
      <alignment horizontal="center" vertical="center"/>
    </xf>
    <xf numFmtId="43" fontId="15" fillId="7" borderId="10" xfId="7" applyNumberFormat="1" applyFont="1" applyFill="1" applyBorder="1" applyAlignment="1">
      <alignment horizontal="center" vertical="center"/>
    </xf>
    <xf numFmtId="9" fontId="25" fillId="0" borderId="2" xfId="4" applyNumberFormat="1" applyFont="1" applyFill="1" applyBorder="1" applyAlignment="1">
      <alignment horizontal="center" vertical="center"/>
    </xf>
    <xf numFmtId="9" fontId="25" fillId="7" borderId="2" xfId="4" applyNumberFormat="1" applyFont="1" applyFill="1" applyBorder="1" applyAlignment="1">
      <alignment horizontal="center" vertical="center"/>
    </xf>
    <xf numFmtId="43" fontId="23" fillId="8" borderId="0" xfId="4" applyFont="1" applyFill="1" applyBorder="1" applyAlignment="1">
      <alignment horizontal="center" vertical="center"/>
    </xf>
    <xf numFmtId="10" fontId="25" fillId="0" borderId="2" xfId="4" applyNumberFormat="1" applyFont="1" applyFill="1" applyBorder="1" applyAlignment="1">
      <alignment horizontal="center" vertical="center"/>
    </xf>
    <xf numFmtId="10" fontId="25" fillId="7" borderId="2" xfId="4" applyNumberFormat="1" applyFont="1" applyFill="1" applyBorder="1" applyAlignment="1">
      <alignment horizontal="center" vertical="center"/>
    </xf>
    <xf numFmtId="10" fontId="25" fillId="8" borderId="2" xfId="4" applyNumberFormat="1" applyFont="1" applyFill="1" applyBorder="1" applyAlignment="1">
      <alignment horizontal="center" vertical="center"/>
    </xf>
    <xf numFmtId="10" fontId="15" fillId="0" borderId="2" xfId="4" applyNumberFormat="1" applyFont="1" applyFill="1" applyBorder="1" applyAlignment="1">
      <alignment horizontal="center" vertical="center"/>
    </xf>
    <xf numFmtId="10" fontId="15" fillId="7" borderId="2" xfId="4" applyNumberFormat="1" applyFont="1" applyFill="1" applyBorder="1" applyAlignment="1">
      <alignment horizontal="center" vertical="center"/>
    </xf>
    <xf numFmtId="10" fontId="21" fillId="7" borderId="2" xfId="4" applyNumberFormat="1" applyFont="1" applyFill="1" applyBorder="1" applyAlignment="1">
      <alignment horizontal="center" vertical="center"/>
    </xf>
    <xf numFmtId="10" fontId="21" fillId="8" borderId="2" xfId="4" applyNumberFormat="1" applyFont="1" applyFill="1" applyBorder="1" applyAlignment="1">
      <alignment horizontal="center" vertical="center"/>
    </xf>
    <xf numFmtId="43" fontId="21" fillId="8" borderId="2" xfId="4" applyFont="1" applyFill="1" applyBorder="1" applyAlignment="1">
      <alignment horizontal="center" vertical="center"/>
    </xf>
    <xf numFmtId="43" fontId="21" fillId="7" borderId="10" xfId="4" applyFont="1" applyFill="1" applyBorder="1" applyAlignment="1">
      <alignment horizontal="center" vertical="center"/>
    </xf>
    <xf numFmtId="43" fontId="21" fillId="8" borderId="10" xfId="4" applyFont="1" applyFill="1" applyBorder="1" applyAlignment="1">
      <alignment horizontal="center" vertical="center"/>
    </xf>
    <xf numFmtId="0" fontId="25" fillId="7" borderId="38" xfId="4" applyNumberFormat="1" applyFont="1" applyFill="1" applyBorder="1" applyAlignment="1">
      <alignment horizontal="center" vertical="center"/>
    </xf>
    <xf numFmtId="43" fontId="25" fillId="7" borderId="38" xfId="4" applyFont="1" applyFill="1" applyBorder="1" applyAlignment="1">
      <alignment horizontal="center" vertical="center"/>
    </xf>
    <xf numFmtId="10" fontId="25" fillId="7" borderId="38" xfId="4" applyNumberFormat="1" applyFont="1" applyFill="1" applyBorder="1" applyAlignment="1">
      <alignment horizontal="center" vertical="center"/>
    </xf>
    <xf numFmtId="10" fontId="25" fillId="8" borderId="38" xfId="4" applyNumberFormat="1" applyFont="1" applyFill="1" applyBorder="1" applyAlignment="1">
      <alignment horizontal="center" vertical="center"/>
    </xf>
    <xf numFmtId="43" fontId="25" fillId="8" borderId="38" xfId="4" applyFont="1" applyFill="1" applyBorder="1" applyAlignment="1">
      <alignment horizontal="center" vertical="center"/>
    </xf>
    <xf numFmtId="43" fontId="15" fillId="8" borderId="10" xfId="4" applyFont="1" applyFill="1" applyBorder="1" applyAlignment="1">
      <alignment horizontal="center" vertical="center"/>
    </xf>
    <xf numFmtId="43" fontId="14" fillId="0" borderId="17" xfId="4" applyFont="1" applyFill="1" applyBorder="1" applyAlignment="1">
      <alignment horizontal="center" vertical="center"/>
    </xf>
    <xf numFmtId="43" fontId="25" fillId="0" borderId="1" xfId="4" applyFont="1" applyFill="1" applyBorder="1" applyAlignment="1">
      <alignment horizontal="center" vertical="center"/>
    </xf>
    <xf numFmtId="10" fontId="23" fillId="7" borderId="2" xfId="4" applyNumberFormat="1" applyFont="1" applyFill="1" applyBorder="1" applyAlignment="1">
      <alignment horizontal="center" vertical="center"/>
    </xf>
    <xf numFmtId="14" fontId="25" fillId="7" borderId="2" xfId="4" applyNumberFormat="1" applyFont="1" applyFill="1" applyBorder="1" applyAlignment="1">
      <alignment horizontal="center" vertical="center"/>
    </xf>
    <xf numFmtId="0" fontId="0" fillId="0" borderId="62" xfId="0" applyBorder="1"/>
    <xf numFmtId="0" fontId="0" fillId="0" borderId="15" xfId="0" applyBorder="1"/>
    <xf numFmtId="0" fontId="0" fillId="0" borderId="63" xfId="0" applyBorder="1"/>
    <xf numFmtId="17" fontId="0" fillId="0" borderId="0" xfId="0" applyNumberFormat="1"/>
    <xf numFmtId="0" fontId="43" fillId="0" borderId="2" xfId="9" applyNumberFormat="1" applyFont="1" applyBorder="1" applyAlignment="1">
      <alignment horizontal="left"/>
    </xf>
    <xf numFmtId="44" fontId="43" fillId="0" borderId="2" xfId="8" applyNumberFormat="1" applyFont="1" applyBorder="1" applyAlignment="1">
      <alignment horizontal="left"/>
    </xf>
    <xf numFmtId="0" fontId="0" fillId="0" borderId="2" xfId="0" applyBorder="1" applyAlignment="1">
      <alignment horizontal="center"/>
    </xf>
    <xf numFmtId="44" fontId="0" fillId="0" borderId="2" xfId="0" applyNumberFormat="1" applyBorder="1" applyAlignment="1">
      <alignment horizontal="center"/>
    </xf>
    <xf numFmtId="0" fontId="0" fillId="10" borderId="2" xfId="0" applyFill="1" applyBorder="1"/>
    <xf numFmtId="0" fontId="1" fillId="10" borderId="2" xfId="0" applyFont="1" applyFill="1" applyBorder="1"/>
    <xf numFmtId="0" fontId="0" fillId="11" borderId="2" xfId="0" applyFill="1" applyBorder="1"/>
    <xf numFmtId="0" fontId="1" fillId="11" borderId="2" xfId="0" applyFont="1" applyFill="1" applyBorder="1"/>
    <xf numFmtId="0" fontId="0" fillId="12" borderId="2" xfId="0" applyFill="1" applyBorder="1"/>
    <xf numFmtId="0" fontId="1" fillId="12" borderId="2" xfId="0" applyFont="1" applyFill="1" applyBorder="1"/>
    <xf numFmtId="0" fontId="0" fillId="13" borderId="2" xfId="0" applyFill="1" applyBorder="1"/>
    <xf numFmtId="0" fontId="1" fillId="13" borderId="2" xfId="0" applyFont="1" applyFill="1" applyBorder="1"/>
    <xf numFmtId="44" fontId="0" fillId="10" borderId="2" xfId="0" applyNumberFormat="1" applyFill="1" applyBorder="1"/>
    <xf numFmtId="44" fontId="0" fillId="11" borderId="2" xfId="0" applyNumberFormat="1" applyFill="1" applyBorder="1"/>
    <xf numFmtId="44" fontId="0" fillId="12" borderId="2" xfId="0" applyNumberFormat="1" applyFill="1" applyBorder="1"/>
    <xf numFmtId="44" fontId="0" fillId="0" borderId="2" xfId="0" applyNumberFormat="1" applyBorder="1"/>
    <xf numFmtId="0" fontId="45" fillId="5" borderId="43" xfId="11" applyFont="1" applyFill="1" applyBorder="1" applyAlignment="1">
      <alignment horizontal="left"/>
    </xf>
    <xf numFmtId="0" fontId="45" fillId="5" borderId="43" xfId="11" applyFont="1" applyFill="1" applyBorder="1" applyAlignment="1">
      <alignment horizontal="center"/>
    </xf>
    <xf numFmtId="0" fontId="33" fillId="5" borderId="43" xfId="7" applyFont="1" applyFill="1" applyBorder="1" applyAlignment="1">
      <alignment horizontal="center"/>
    </xf>
    <xf numFmtId="17" fontId="33" fillId="5" borderId="43" xfId="7" applyNumberFormat="1" applyFont="1" applyFill="1" applyBorder="1" applyAlignment="1">
      <alignment horizontal="center"/>
    </xf>
    <xf numFmtId="2" fontId="46" fillId="5" borderId="43" xfId="7" applyNumberFormat="1" applyFont="1" applyFill="1" applyBorder="1" applyAlignment="1">
      <alignment horizontal="center"/>
    </xf>
    <xf numFmtId="0" fontId="43" fillId="0" borderId="43" xfId="10" applyFont="1" applyBorder="1" applyAlignment="1">
      <alignment horizontal="left"/>
    </xf>
    <xf numFmtId="0" fontId="43" fillId="0" borderId="43" xfId="14" applyNumberFormat="1" applyFont="1" applyBorder="1" applyAlignment="1">
      <alignment horizontal="left"/>
    </xf>
    <xf numFmtId="14" fontId="43" fillId="0" borderId="43" xfId="15" applyNumberFormat="1" applyFont="1" applyBorder="1" applyAlignment="1">
      <alignment horizontal="left"/>
    </xf>
    <xf numFmtId="44" fontId="43" fillId="0" borderId="43" xfId="15" applyNumberFormat="1" applyFont="1" applyBorder="1" applyAlignment="1">
      <alignment horizontal="left"/>
    </xf>
    <xf numFmtId="0" fontId="7" fillId="0" borderId="43" xfId="7" applyNumberFormat="1" applyBorder="1" applyAlignment="1">
      <alignment horizontal="center"/>
    </xf>
    <xf numFmtId="166" fontId="7" fillId="0" borderId="43" xfId="7" applyNumberFormat="1" applyBorder="1" applyAlignment="1">
      <alignment horizontal="center"/>
    </xf>
    <xf numFmtId="2" fontId="33" fillId="14" borderId="43" xfId="7" applyNumberFormat="1" applyFont="1" applyFill="1" applyBorder="1" applyAlignment="1">
      <alignment horizontal="center"/>
    </xf>
    <xf numFmtId="46" fontId="7" fillId="0" borderId="43" xfId="7" applyNumberFormat="1" applyBorder="1" applyAlignment="1">
      <alignment horizontal="center"/>
    </xf>
    <xf numFmtId="46" fontId="47" fillId="0" borderId="43" xfId="7" applyNumberFormat="1" applyFont="1" applyBorder="1" applyAlignment="1">
      <alignment horizontal="center"/>
    </xf>
    <xf numFmtId="0" fontId="43" fillId="0" borderId="0" xfId="10" applyFont="1" applyAlignment="1">
      <alignment horizontal="left"/>
    </xf>
    <xf numFmtId="0" fontId="43" fillId="0" borderId="0" xfId="14" applyNumberFormat="1" applyFont="1" applyAlignment="1">
      <alignment horizontal="center"/>
    </xf>
    <xf numFmtId="14" fontId="43" fillId="0" borderId="0" xfId="15" applyNumberFormat="1" applyFont="1" applyAlignment="1">
      <alignment horizontal="left"/>
    </xf>
    <xf numFmtId="0" fontId="43" fillId="0" borderId="0" xfId="14" applyNumberFormat="1" applyFont="1" applyAlignment="1">
      <alignment horizontal="left"/>
    </xf>
    <xf numFmtId="0" fontId="45" fillId="0" borderId="0" xfId="2" applyFont="1" applyFill="1" applyBorder="1" applyAlignment="1">
      <alignment horizontal="left"/>
    </xf>
    <xf numFmtId="167" fontId="45" fillId="0" borderId="0" xfId="13" applyNumberFormat="1" applyFont="1" applyFill="1" applyAlignment="1">
      <alignment horizontal="right"/>
    </xf>
    <xf numFmtId="168" fontId="48" fillId="0" borderId="0" xfId="1" applyNumberFormat="1" applyFont="1" applyBorder="1" applyAlignment="1">
      <alignment horizontal="left"/>
    </xf>
    <xf numFmtId="0" fontId="45" fillId="0" borderId="0" xfId="11" applyFont="1" applyBorder="1" applyAlignment="1">
      <alignment horizontal="left"/>
    </xf>
    <xf numFmtId="0" fontId="49" fillId="0" borderId="0" xfId="16" applyNumberFormat="1" applyFont="1" applyAlignment="1">
      <alignment horizontal="right"/>
    </xf>
    <xf numFmtId="43" fontId="25" fillId="7" borderId="42" xfId="4" applyFont="1" applyFill="1" applyBorder="1" applyAlignment="1">
      <alignment horizontal="center" vertical="center"/>
    </xf>
    <xf numFmtId="0" fontId="43" fillId="0" borderId="2" xfId="9" applyNumberFormat="1" applyFont="1" applyFill="1" applyBorder="1" applyAlignment="1">
      <alignment horizontal="left"/>
    </xf>
    <xf numFmtId="43" fontId="23" fillId="0" borderId="17" xfId="4" applyFont="1" applyFill="1" applyBorder="1" applyAlignment="1">
      <alignment horizontal="center" vertical="center"/>
    </xf>
    <xf numFmtId="43" fontId="23" fillId="0" borderId="19" xfId="4" applyFont="1" applyFill="1" applyBorder="1" applyAlignment="1">
      <alignment horizontal="center" vertical="center"/>
    </xf>
    <xf numFmtId="43" fontId="23" fillId="0" borderId="22" xfId="4" applyFont="1" applyFill="1" applyBorder="1" applyAlignment="1">
      <alignment horizontal="center" vertical="center"/>
    </xf>
    <xf numFmtId="43" fontId="23" fillId="0" borderId="41" xfId="4" applyFont="1" applyFill="1" applyBorder="1" applyAlignment="1">
      <alignment horizontal="center" vertical="center"/>
    </xf>
    <xf numFmtId="43" fontId="23" fillId="0" borderId="64" xfId="4" applyFont="1" applyFill="1" applyBorder="1" applyAlignment="1">
      <alignment horizontal="center" vertical="center"/>
    </xf>
    <xf numFmtId="43" fontId="23" fillId="0" borderId="65" xfId="4" applyFont="1" applyFill="1" applyBorder="1" applyAlignment="1">
      <alignment horizontal="center" vertical="center"/>
    </xf>
    <xf numFmtId="0" fontId="23" fillId="0" borderId="17" xfId="6" applyFont="1" applyFill="1" applyBorder="1" applyAlignment="1">
      <alignment horizontal="center" vertical="center"/>
    </xf>
    <xf numFmtId="43" fontId="23" fillId="5" borderId="18" xfId="4" applyFont="1" applyFill="1" applyBorder="1" applyAlignment="1">
      <alignment horizontal="center" vertical="center"/>
    </xf>
    <xf numFmtId="0" fontId="23" fillId="0" borderId="22" xfId="6" applyFont="1" applyFill="1" applyBorder="1" applyAlignment="1">
      <alignment horizontal="center" vertical="center"/>
    </xf>
    <xf numFmtId="43" fontId="23" fillId="5" borderId="23" xfId="4" applyFont="1" applyFill="1" applyBorder="1" applyAlignment="1">
      <alignment horizontal="center" vertical="center"/>
    </xf>
    <xf numFmtId="0" fontId="23" fillId="0" borderId="41" xfId="2" applyFont="1" applyFill="1" applyBorder="1" applyAlignment="1">
      <alignment horizontal="center" vertical="center"/>
    </xf>
    <xf numFmtId="0" fontId="23" fillId="0" borderId="1" xfId="2" applyFont="1" applyFill="1" applyBorder="1" applyAlignment="1">
      <alignment horizontal="center" vertical="center"/>
    </xf>
    <xf numFmtId="0" fontId="0" fillId="0" borderId="19" xfId="0" applyBorder="1"/>
    <xf numFmtId="0" fontId="0" fillId="0" borderId="22" xfId="0" applyBorder="1"/>
    <xf numFmtId="0" fontId="0" fillId="0" borderId="23" xfId="0" applyBorder="1"/>
    <xf numFmtId="0" fontId="1" fillId="10" borderId="17" xfId="0" applyFont="1" applyFill="1" applyBorder="1" applyAlignment="1">
      <alignment horizontal="center"/>
    </xf>
    <xf numFmtId="0" fontId="1" fillId="10" borderId="41" xfId="0" applyFont="1" applyFill="1" applyBorder="1" applyAlignment="1">
      <alignment horizontal="center"/>
    </xf>
    <xf numFmtId="0" fontId="1" fillId="11" borderId="17" xfId="0" applyFont="1" applyFill="1" applyBorder="1" applyAlignment="1">
      <alignment horizontal="center"/>
    </xf>
    <xf numFmtId="0" fontId="1" fillId="11" borderId="41" xfId="0" applyFont="1" applyFill="1" applyBorder="1" applyAlignment="1">
      <alignment horizontal="center"/>
    </xf>
    <xf numFmtId="0" fontId="1" fillId="12" borderId="17" xfId="0" applyFont="1" applyFill="1" applyBorder="1" applyAlignment="1">
      <alignment horizontal="center"/>
    </xf>
    <xf numFmtId="0" fontId="1" fillId="12" borderId="41" xfId="0" applyFont="1" applyFill="1" applyBorder="1" applyAlignment="1">
      <alignment horizontal="center"/>
    </xf>
    <xf numFmtId="17" fontId="1" fillId="10" borderId="22" xfId="0" applyNumberFormat="1" applyFont="1" applyFill="1" applyBorder="1" applyAlignment="1">
      <alignment horizontal="center"/>
    </xf>
    <xf numFmtId="17" fontId="1" fillId="10" borderId="1" xfId="0" applyNumberFormat="1" applyFont="1" applyFill="1" applyBorder="1" applyAlignment="1">
      <alignment horizontal="center"/>
    </xf>
    <xf numFmtId="17" fontId="1" fillId="11" borderId="22" xfId="0" applyNumberFormat="1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17" fontId="1" fillId="12" borderId="22" xfId="0" applyNumberFormat="1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0" xfId="0" applyFont="1" applyAlignment="1">
      <alignment horizontal="center"/>
    </xf>
    <xf numFmtId="0" fontId="1" fillId="0" borderId="24" xfId="0" applyFont="1" applyBorder="1"/>
    <xf numFmtId="0" fontId="44" fillId="8" borderId="43" xfId="12" applyFont="1" applyFill="1" applyBorder="1" applyAlignment="1">
      <alignment horizontal="center"/>
    </xf>
    <xf numFmtId="0" fontId="44" fillId="6" borderId="43" xfId="12" applyFont="1" applyFill="1" applyBorder="1" applyAlignment="1">
      <alignment horizontal="center"/>
    </xf>
    <xf numFmtId="0" fontId="24" fillId="0" borderId="17" xfId="2" applyFont="1" applyFill="1" applyBorder="1" applyAlignment="1">
      <alignment horizontal="center" vertical="center"/>
    </xf>
    <xf numFmtId="0" fontId="24" fillId="0" borderId="19" xfId="2" applyFont="1" applyFill="1" applyBorder="1" applyAlignment="1">
      <alignment horizontal="center" vertical="center"/>
    </xf>
    <xf numFmtId="0" fontId="24" fillId="0" borderId="20" xfId="2" applyFont="1" applyFill="1" applyBorder="1" applyAlignment="1">
      <alignment horizontal="center" vertical="center"/>
    </xf>
    <xf numFmtId="0" fontId="24" fillId="0" borderId="21" xfId="2" applyFont="1" applyFill="1" applyBorder="1" applyAlignment="1">
      <alignment horizontal="center" vertical="center"/>
    </xf>
    <xf numFmtId="9" fontId="25" fillId="0" borderId="37" xfId="1" applyNumberFormat="1" applyFont="1" applyFill="1" applyBorder="1" applyAlignment="1">
      <alignment horizontal="center" vertical="center"/>
    </xf>
    <xf numFmtId="0" fontId="25" fillId="0" borderId="2" xfId="1" applyFont="1" applyFill="1" applyBorder="1" applyAlignment="1">
      <alignment horizontal="left" vertical="center"/>
    </xf>
    <xf numFmtId="43" fontId="25" fillId="0" borderId="2" xfId="4" applyFont="1" applyFill="1" applyBorder="1" applyAlignment="1">
      <alignment horizontal="center" vertical="center"/>
    </xf>
    <xf numFmtId="43" fontId="25" fillId="5" borderId="2" xfId="4" applyFont="1" applyFill="1" applyBorder="1" applyAlignment="1">
      <alignment horizontal="center" vertical="center"/>
    </xf>
    <xf numFmtId="0" fontId="25" fillId="0" borderId="0" xfId="7" applyFont="1" applyAlignment="1">
      <alignment horizontal="left" vertical="center" wrapText="1"/>
    </xf>
    <xf numFmtId="0" fontId="25" fillId="0" borderId="2" xfId="1" applyFont="1" applyBorder="1" applyAlignment="1">
      <alignment horizontal="left" vertical="center"/>
    </xf>
  </cellXfs>
  <cellStyles count="17">
    <cellStyle name="Entrada" xfId="2" builtinId="20"/>
    <cellStyle name="Moeda [0]" xfId="8" builtinId="7"/>
    <cellStyle name="Moeda [0] 2" xfId="15" xr:uid="{832D005D-42B7-426D-8E0C-AA98044047A8}"/>
    <cellStyle name="Neutro 2" xfId="6" xr:uid="{0BAF9529-7900-4729-A473-51101DE3B75B}"/>
    <cellStyle name="Normal" xfId="0" builtinId="0"/>
    <cellStyle name="Normal 2" xfId="5" xr:uid="{4E7F3C34-1D21-4082-8B2E-8FE24AC51B70}"/>
    <cellStyle name="Normal 3" xfId="7" xr:uid="{CEF01751-6E21-46CC-B361-7CB81E1414D0}"/>
    <cellStyle name="Porcentagem" xfId="9" builtinId="5"/>
    <cellStyle name="Porcentagem 2" xfId="14" xr:uid="{9DF80AA3-FF46-4C9C-80A8-ABFB7284BFDC}"/>
    <cellStyle name="Ruim" xfId="13" builtinId="27"/>
    <cellStyle name="Saída" xfId="3" builtinId="21"/>
    <cellStyle name="Separador de milhares [0] 2" xfId="16" xr:uid="{70A6D559-300D-4C52-AC62-D9198BE8A14D}"/>
    <cellStyle name="Título" xfId="10" builtinId="15"/>
    <cellStyle name="Título 1" xfId="11" builtinId="16"/>
    <cellStyle name="Título 2" xfId="1" builtinId="17"/>
    <cellStyle name="Título 4" xfId="12" builtinId="19"/>
    <cellStyle name="Vírgula 2" xfId="4" xr:uid="{BD41F2D7-9695-4C70-B9B1-2E34BBADF8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e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ito"/>
      <sheetName val="cálculo"/>
    </sheetNames>
    <sheetDataSet>
      <sheetData sheetId="0"/>
      <sheetData sheetId="1">
        <row r="10">
          <cell r="Y1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00B50-06D9-43D3-A83F-BCC975FF589C}">
  <dimension ref="A1:AF22"/>
  <sheetViews>
    <sheetView topLeftCell="G1" workbookViewId="0">
      <selection activeCell="AK13" sqref="AK13"/>
    </sheetView>
  </sheetViews>
  <sheetFormatPr defaultRowHeight="15" x14ac:dyDescent="0.25"/>
  <cols>
    <col min="1" max="1" width="36" customWidth="1"/>
    <col min="2" max="7" width="11.5703125" customWidth="1"/>
    <col min="8" max="10" width="9.140625" hidden="1" customWidth="1"/>
    <col min="11" max="11" width="0" hidden="1" customWidth="1"/>
    <col min="12" max="14" width="9.140625" hidden="1" customWidth="1"/>
    <col min="15" max="15" width="0" hidden="1" customWidth="1"/>
    <col min="16" max="18" width="9.140625" hidden="1" customWidth="1"/>
    <col min="19" max="19" width="0" hidden="1" customWidth="1"/>
    <col min="20" max="22" width="9.140625" hidden="1" customWidth="1"/>
    <col min="23" max="23" width="0" hidden="1" customWidth="1"/>
    <col min="25" max="25" width="12.140625" customWidth="1"/>
    <col min="27" max="27" width="12.140625" customWidth="1"/>
    <col min="29" max="29" width="12.42578125" customWidth="1"/>
    <col min="31" max="31" width="13.5703125" customWidth="1"/>
    <col min="32" max="32" width="12" customWidth="1"/>
  </cols>
  <sheetData>
    <row r="1" spans="1:32" x14ac:dyDescent="0.25">
      <c r="H1" s="411" t="s">
        <v>262</v>
      </c>
      <c r="I1" s="412"/>
      <c r="J1" s="412"/>
      <c r="K1" s="413"/>
      <c r="L1" s="411" t="s">
        <v>263</v>
      </c>
      <c r="M1" s="412"/>
      <c r="N1" s="412"/>
      <c r="O1" s="412"/>
      <c r="P1" s="411" t="s">
        <v>264</v>
      </c>
      <c r="Q1" s="412"/>
      <c r="R1" s="412"/>
      <c r="S1" s="413"/>
      <c r="T1" s="411" t="s">
        <v>265</v>
      </c>
      <c r="U1" s="412"/>
      <c r="V1" s="412"/>
      <c r="W1" s="412"/>
      <c r="X1" s="253" t="s">
        <v>266</v>
      </c>
      <c r="Y1" s="7"/>
      <c r="Z1" s="7"/>
      <c r="AA1" s="7"/>
      <c r="AB1" s="7"/>
      <c r="AC1" s="7"/>
      <c r="AD1" s="254"/>
      <c r="AE1" s="252" t="s">
        <v>267</v>
      </c>
      <c r="AF1" s="252" t="s">
        <v>212</v>
      </c>
    </row>
    <row r="2" spans="1:32" x14ac:dyDescent="0.25">
      <c r="B2" t="s">
        <v>268</v>
      </c>
      <c r="C2" t="s">
        <v>269</v>
      </c>
      <c r="D2" t="s">
        <v>270</v>
      </c>
      <c r="E2" t="s">
        <v>271</v>
      </c>
      <c r="F2" t="s">
        <v>271</v>
      </c>
      <c r="G2" t="s">
        <v>272</v>
      </c>
      <c r="X2" s="414">
        <v>44593</v>
      </c>
      <c r="Y2" s="414"/>
      <c r="Z2" s="414">
        <v>44621</v>
      </c>
      <c r="AA2" s="414"/>
      <c r="AB2" s="414">
        <v>44652</v>
      </c>
      <c r="AC2" s="414"/>
      <c r="AD2" t="s">
        <v>273</v>
      </c>
    </row>
    <row r="3" spans="1:32" x14ac:dyDescent="0.25">
      <c r="A3" s="415" t="s">
        <v>37</v>
      </c>
      <c r="B3" s="416">
        <v>35.43</v>
      </c>
      <c r="C3" s="416">
        <f>B3/6</f>
        <v>5.9050000000000002</v>
      </c>
      <c r="D3" s="416">
        <f>SUM(B3+C3)*12%</f>
        <v>4.9601999999999995</v>
      </c>
      <c r="E3" s="417">
        <v>0</v>
      </c>
      <c r="F3" s="418">
        <f>SUM(B3+C3)*E3%</f>
        <v>0</v>
      </c>
      <c r="G3" s="418">
        <f>SUM(B3+C3+D3+F3)</f>
        <v>46.295200000000001</v>
      </c>
      <c r="H3" s="419">
        <v>20</v>
      </c>
      <c r="I3" s="419">
        <v>8</v>
      </c>
      <c r="J3" s="419">
        <f>H3*60</f>
        <v>1200</v>
      </c>
      <c r="K3" s="420">
        <f>(J3+I3)/50</f>
        <v>24.16</v>
      </c>
      <c r="L3" s="421">
        <v>20</v>
      </c>
      <c r="M3" s="421">
        <v>8</v>
      </c>
      <c r="N3" s="421">
        <f>L3*60</f>
        <v>1200</v>
      </c>
      <c r="O3" s="422">
        <f>(N3+M3)/50</f>
        <v>24.16</v>
      </c>
      <c r="P3" s="423">
        <v>18</v>
      </c>
      <c r="Q3" s="423">
        <v>8</v>
      </c>
      <c r="R3" s="423">
        <f>P3*60</f>
        <v>1080</v>
      </c>
      <c r="S3" s="424">
        <f>(R3+Q3)/50</f>
        <v>21.76</v>
      </c>
      <c r="T3" s="425">
        <v>18</v>
      </c>
      <c r="U3" s="425">
        <v>8</v>
      </c>
      <c r="V3" s="425">
        <f>T3*60</f>
        <v>1080</v>
      </c>
      <c r="W3" s="426">
        <f>(V3+U3)/50</f>
        <v>21.76</v>
      </c>
      <c r="X3" s="419">
        <f>W3-K3</f>
        <v>-2.3999999999999986</v>
      </c>
      <c r="Y3" s="427">
        <v>0</v>
      </c>
      <c r="Z3" s="421">
        <f>W3-O3</f>
        <v>-2.3999999999999986</v>
      </c>
      <c r="AA3" s="428">
        <v>0</v>
      </c>
      <c r="AB3" s="423">
        <f>W3-S3</f>
        <v>0</v>
      </c>
      <c r="AC3" s="429">
        <f>AB3*G3</f>
        <v>0</v>
      </c>
      <c r="AD3" s="426">
        <v>0</v>
      </c>
      <c r="AE3" s="430">
        <f t="shared" ref="AE3:AE20" si="0">AD3*G3</f>
        <v>0</v>
      </c>
      <c r="AF3" s="430">
        <f>AE3*8%</f>
        <v>0</v>
      </c>
    </row>
    <row r="4" spans="1:32" x14ac:dyDescent="0.25">
      <c r="A4" s="415" t="s">
        <v>19</v>
      </c>
      <c r="B4" s="416">
        <v>51.52</v>
      </c>
      <c r="C4" s="416">
        <f t="shared" ref="C4:C20" si="1">B4/6</f>
        <v>8.5866666666666678</v>
      </c>
      <c r="D4" s="416">
        <f t="shared" ref="D4:D20" si="2">SUM(B4+C4)*12%</f>
        <v>7.2127999999999997</v>
      </c>
      <c r="E4" s="417">
        <v>5</v>
      </c>
      <c r="F4" s="418">
        <f t="shared" ref="F4:F20" si="3">SUM(B4+C4)*E4%</f>
        <v>3.0053333333333336</v>
      </c>
      <c r="G4" s="418">
        <f t="shared" ref="G4:G20" si="4">SUM(B4+C4+D4+F4)</f>
        <v>70.32480000000001</v>
      </c>
      <c r="H4" s="419">
        <v>43</v>
      </c>
      <c r="I4" s="419">
        <v>31</v>
      </c>
      <c r="J4" s="419">
        <f t="shared" ref="J4:J20" si="5">H4*60</f>
        <v>2580</v>
      </c>
      <c r="K4" s="420">
        <f t="shared" ref="K4:K20" si="6">(J4+I4)/50</f>
        <v>52.22</v>
      </c>
      <c r="L4" s="421">
        <v>43</v>
      </c>
      <c r="M4" s="421">
        <v>31</v>
      </c>
      <c r="N4" s="421">
        <f t="shared" ref="N4:N20" si="7">L4*60</f>
        <v>2580</v>
      </c>
      <c r="O4" s="422">
        <f t="shared" ref="O4:O20" si="8">(N4+M4)/50</f>
        <v>52.22</v>
      </c>
      <c r="P4" s="423">
        <v>38</v>
      </c>
      <c r="Q4" s="423">
        <v>9</v>
      </c>
      <c r="R4" s="423">
        <f t="shared" ref="R4:R20" si="9">P4*60</f>
        <v>2280</v>
      </c>
      <c r="S4" s="424">
        <f t="shared" ref="S4:S20" si="10">(R4+Q4)/50</f>
        <v>45.78</v>
      </c>
      <c r="T4" s="425">
        <v>51</v>
      </c>
      <c r="U4" s="425">
        <v>45</v>
      </c>
      <c r="V4" s="425">
        <f t="shared" ref="V4:V20" si="11">T4*60</f>
        <v>3060</v>
      </c>
      <c r="W4" s="426">
        <f t="shared" ref="W4:W20" si="12">(V4+U4)/50</f>
        <v>62.1</v>
      </c>
      <c r="X4" s="419">
        <f t="shared" ref="X4:X20" si="13">W4-K4</f>
        <v>9.8800000000000026</v>
      </c>
      <c r="Y4" s="427">
        <f t="shared" ref="Y4:Y20" si="14">X4*G4</f>
        <v>694.80902400000025</v>
      </c>
      <c r="Z4" s="421">
        <f t="shared" ref="Z4:Z20" si="15">W4-O4</f>
        <v>9.8800000000000026</v>
      </c>
      <c r="AA4" s="428">
        <f t="shared" ref="AA4:AA20" si="16">Z4*G4</f>
        <v>694.80902400000025</v>
      </c>
      <c r="AB4" s="423">
        <f t="shared" ref="AB4:AB20" si="17">W4-S4</f>
        <v>16.32</v>
      </c>
      <c r="AC4" s="429">
        <f t="shared" ref="AC4:AC20" si="18">AB4*G4</f>
        <v>1147.7007360000002</v>
      </c>
      <c r="AD4" s="426">
        <f t="shared" ref="AD4:AD20" si="19">X4+Z4+AB4</f>
        <v>36.080000000000005</v>
      </c>
      <c r="AE4" s="430">
        <f t="shared" si="0"/>
        <v>2537.318784000001</v>
      </c>
      <c r="AF4" s="430">
        <f t="shared" ref="AF4:AF21" si="20">AE4*8%</f>
        <v>202.98550272000008</v>
      </c>
    </row>
    <row r="5" spans="1:32" x14ac:dyDescent="0.25">
      <c r="A5" s="415" t="s">
        <v>38</v>
      </c>
      <c r="B5" s="416">
        <v>43.87</v>
      </c>
      <c r="C5" s="416">
        <f t="shared" si="1"/>
        <v>7.3116666666666665</v>
      </c>
      <c r="D5" s="416">
        <f t="shared" si="2"/>
        <v>6.1417999999999999</v>
      </c>
      <c r="E5" s="417">
        <v>0</v>
      </c>
      <c r="F5" s="418">
        <f t="shared" si="3"/>
        <v>0</v>
      </c>
      <c r="G5" s="418">
        <f t="shared" si="4"/>
        <v>57.323466666666661</v>
      </c>
      <c r="H5" s="419">
        <v>40</v>
      </c>
      <c r="I5" s="419">
        <v>18</v>
      </c>
      <c r="J5" s="419">
        <f t="shared" si="5"/>
        <v>2400</v>
      </c>
      <c r="K5" s="420">
        <f t="shared" si="6"/>
        <v>48.36</v>
      </c>
      <c r="L5" s="421">
        <v>40</v>
      </c>
      <c r="M5" s="421">
        <v>18</v>
      </c>
      <c r="N5" s="421">
        <f t="shared" si="7"/>
        <v>2400</v>
      </c>
      <c r="O5" s="422">
        <f t="shared" si="8"/>
        <v>48.36</v>
      </c>
      <c r="P5" s="423">
        <v>40</v>
      </c>
      <c r="Q5" s="423">
        <v>18</v>
      </c>
      <c r="R5" s="423">
        <f t="shared" si="9"/>
        <v>2400</v>
      </c>
      <c r="S5" s="424">
        <f t="shared" si="10"/>
        <v>48.36</v>
      </c>
      <c r="T5" s="425">
        <v>54</v>
      </c>
      <c r="U5" s="425">
        <v>0</v>
      </c>
      <c r="V5" s="425">
        <f t="shared" si="11"/>
        <v>3240</v>
      </c>
      <c r="W5" s="426">
        <f t="shared" si="12"/>
        <v>64.8</v>
      </c>
      <c r="X5" s="419">
        <f t="shared" si="13"/>
        <v>16.439999999999998</v>
      </c>
      <c r="Y5" s="427">
        <f t="shared" si="14"/>
        <v>942.39779199999975</v>
      </c>
      <c r="Z5" s="421">
        <f t="shared" si="15"/>
        <v>16.439999999999998</v>
      </c>
      <c r="AA5" s="428">
        <f t="shared" si="16"/>
        <v>942.39779199999975</v>
      </c>
      <c r="AB5" s="423">
        <f t="shared" si="17"/>
        <v>16.439999999999998</v>
      </c>
      <c r="AC5" s="429">
        <f t="shared" si="18"/>
        <v>942.39779199999975</v>
      </c>
      <c r="AD5" s="426">
        <f t="shared" si="19"/>
        <v>49.319999999999993</v>
      </c>
      <c r="AE5" s="430">
        <f t="shared" si="0"/>
        <v>2827.1933759999993</v>
      </c>
      <c r="AF5" s="430">
        <f t="shared" si="20"/>
        <v>226.17547007999994</v>
      </c>
    </row>
    <row r="6" spans="1:32" x14ac:dyDescent="0.25">
      <c r="A6" s="415" t="s">
        <v>42</v>
      </c>
      <c r="B6" s="416">
        <v>35.43</v>
      </c>
      <c r="C6" s="416">
        <f t="shared" si="1"/>
        <v>5.9050000000000002</v>
      </c>
      <c r="D6" s="416">
        <f t="shared" si="2"/>
        <v>4.9601999999999995</v>
      </c>
      <c r="E6" s="417">
        <v>0</v>
      </c>
      <c r="F6" s="418">
        <f t="shared" si="3"/>
        <v>0</v>
      </c>
      <c r="G6" s="418">
        <f t="shared" si="4"/>
        <v>46.295200000000001</v>
      </c>
      <c r="H6" s="419">
        <v>20</v>
      </c>
      <c r="I6" s="419">
        <v>8</v>
      </c>
      <c r="J6" s="419">
        <f t="shared" si="5"/>
        <v>1200</v>
      </c>
      <c r="K6" s="420">
        <f t="shared" si="6"/>
        <v>24.16</v>
      </c>
      <c r="L6" s="421">
        <v>20</v>
      </c>
      <c r="M6" s="421">
        <v>8</v>
      </c>
      <c r="N6" s="421">
        <f t="shared" si="7"/>
        <v>1200</v>
      </c>
      <c r="O6" s="422">
        <f t="shared" si="8"/>
        <v>24.16</v>
      </c>
      <c r="P6" s="423">
        <v>20</v>
      </c>
      <c r="Q6" s="423">
        <v>8</v>
      </c>
      <c r="R6" s="423">
        <f t="shared" si="9"/>
        <v>1200</v>
      </c>
      <c r="S6" s="424">
        <f t="shared" si="10"/>
        <v>24.16</v>
      </c>
      <c r="T6" s="425">
        <v>22</v>
      </c>
      <c r="U6" s="425">
        <v>18</v>
      </c>
      <c r="V6" s="425">
        <f t="shared" si="11"/>
        <v>1320</v>
      </c>
      <c r="W6" s="426">
        <f t="shared" si="12"/>
        <v>26.76</v>
      </c>
      <c r="X6" s="419">
        <f t="shared" si="13"/>
        <v>2.6000000000000014</v>
      </c>
      <c r="Y6" s="427">
        <f t="shared" si="14"/>
        <v>120.36752000000007</v>
      </c>
      <c r="Z6" s="421">
        <f t="shared" si="15"/>
        <v>2.6000000000000014</v>
      </c>
      <c r="AA6" s="428">
        <f t="shared" si="16"/>
        <v>120.36752000000007</v>
      </c>
      <c r="AB6" s="423">
        <f t="shared" si="17"/>
        <v>2.6000000000000014</v>
      </c>
      <c r="AC6" s="429">
        <f t="shared" si="18"/>
        <v>120.36752000000007</v>
      </c>
      <c r="AD6" s="426">
        <f t="shared" si="19"/>
        <v>7.8000000000000043</v>
      </c>
      <c r="AE6" s="430">
        <f t="shared" si="0"/>
        <v>361.10256000000021</v>
      </c>
      <c r="AF6" s="430">
        <f t="shared" si="20"/>
        <v>28.888204800000018</v>
      </c>
    </row>
    <row r="7" spans="1:32" x14ac:dyDescent="0.25">
      <c r="A7" s="415" t="s">
        <v>1</v>
      </c>
      <c r="B7" s="416">
        <v>84.72</v>
      </c>
      <c r="C7" s="416">
        <f t="shared" si="1"/>
        <v>14.12</v>
      </c>
      <c r="D7" s="416">
        <f t="shared" si="2"/>
        <v>11.860799999999999</v>
      </c>
      <c r="E7" s="417">
        <v>5</v>
      </c>
      <c r="F7" s="418">
        <f t="shared" si="3"/>
        <v>4.9420000000000002</v>
      </c>
      <c r="G7" s="418">
        <f t="shared" si="4"/>
        <v>115.64279999999999</v>
      </c>
      <c r="H7" s="419">
        <v>13</v>
      </c>
      <c r="I7" s="419">
        <v>18</v>
      </c>
      <c r="J7" s="419">
        <f t="shared" si="5"/>
        <v>780</v>
      </c>
      <c r="K7" s="420">
        <f t="shared" si="6"/>
        <v>15.96</v>
      </c>
      <c r="L7" s="421">
        <v>13</v>
      </c>
      <c r="M7" s="421">
        <v>18</v>
      </c>
      <c r="N7" s="421">
        <f t="shared" si="7"/>
        <v>780</v>
      </c>
      <c r="O7" s="422">
        <f t="shared" si="8"/>
        <v>15.96</v>
      </c>
      <c r="P7" s="423">
        <v>13</v>
      </c>
      <c r="Q7" s="423">
        <v>18</v>
      </c>
      <c r="R7" s="423">
        <f t="shared" si="9"/>
        <v>780</v>
      </c>
      <c r="S7" s="424">
        <f t="shared" si="10"/>
        <v>15.96</v>
      </c>
      <c r="T7" s="425">
        <v>18</v>
      </c>
      <c r="U7" s="425"/>
      <c r="V7" s="425">
        <f t="shared" si="11"/>
        <v>1080</v>
      </c>
      <c r="W7" s="426">
        <f t="shared" si="12"/>
        <v>21.6</v>
      </c>
      <c r="X7" s="419">
        <f t="shared" si="13"/>
        <v>5.6400000000000006</v>
      </c>
      <c r="Y7" s="427">
        <f t="shared" si="14"/>
        <v>652.22539200000006</v>
      </c>
      <c r="Z7" s="421">
        <f t="shared" si="15"/>
        <v>5.6400000000000006</v>
      </c>
      <c r="AA7" s="428">
        <f t="shared" si="16"/>
        <v>652.22539200000006</v>
      </c>
      <c r="AB7" s="423">
        <f t="shared" si="17"/>
        <v>5.6400000000000006</v>
      </c>
      <c r="AC7" s="429">
        <f t="shared" si="18"/>
        <v>652.22539200000006</v>
      </c>
      <c r="AD7" s="426">
        <f t="shared" si="19"/>
        <v>16.920000000000002</v>
      </c>
      <c r="AE7" s="430">
        <f t="shared" si="0"/>
        <v>1956.6761760000002</v>
      </c>
      <c r="AF7" s="430">
        <f t="shared" si="20"/>
        <v>156.53409408000002</v>
      </c>
    </row>
    <row r="8" spans="1:32" x14ac:dyDescent="0.25">
      <c r="A8" s="415" t="s">
        <v>3</v>
      </c>
      <c r="B8" s="416">
        <v>75.38</v>
      </c>
      <c r="C8" s="416">
        <f t="shared" si="1"/>
        <v>12.563333333333333</v>
      </c>
      <c r="D8" s="416">
        <f t="shared" si="2"/>
        <v>10.553199999999999</v>
      </c>
      <c r="E8" s="417">
        <v>10</v>
      </c>
      <c r="F8" s="418">
        <f t="shared" si="3"/>
        <v>8.7943333333333324</v>
      </c>
      <c r="G8" s="418">
        <f t="shared" si="4"/>
        <v>107.29086666666666</v>
      </c>
      <c r="H8" s="419">
        <v>16</v>
      </c>
      <c r="I8" s="419">
        <v>31</v>
      </c>
      <c r="J8" s="419">
        <f t="shared" si="5"/>
        <v>960</v>
      </c>
      <c r="K8" s="420">
        <f t="shared" si="6"/>
        <v>19.82</v>
      </c>
      <c r="L8" s="421">
        <v>16</v>
      </c>
      <c r="M8" s="421">
        <v>31</v>
      </c>
      <c r="N8" s="421">
        <f t="shared" si="7"/>
        <v>960</v>
      </c>
      <c r="O8" s="422">
        <f t="shared" si="8"/>
        <v>19.82</v>
      </c>
      <c r="P8" s="423">
        <v>16</v>
      </c>
      <c r="Q8" s="423">
        <v>10</v>
      </c>
      <c r="R8" s="423">
        <f t="shared" si="9"/>
        <v>960</v>
      </c>
      <c r="S8" s="424">
        <f t="shared" si="10"/>
        <v>19.399999999999999</v>
      </c>
      <c r="T8" s="425">
        <v>20</v>
      </c>
      <c r="U8" s="425">
        <v>15</v>
      </c>
      <c r="V8" s="425">
        <f t="shared" si="11"/>
        <v>1200</v>
      </c>
      <c r="W8" s="426">
        <f t="shared" si="12"/>
        <v>24.3</v>
      </c>
      <c r="X8" s="419">
        <f t="shared" si="13"/>
        <v>4.4800000000000004</v>
      </c>
      <c r="Y8" s="427">
        <f t="shared" si="14"/>
        <v>480.6630826666667</v>
      </c>
      <c r="Z8" s="421">
        <f t="shared" si="15"/>
        <v>4.4800000000000004</v>
      </c>
      <c r="AA8" s="428">
        <f t="shared" si="16"/>
        <v>480.6630826666667</v>
      </c>
      <c r="AB8" s="423">
        <f t="shared" si="17"/>
        <v>4.9000000000000021</v>
      </c>
      <c r="AC8" s="429">
        <f t="shared" si="18"/>
        <v>525.72524666666686</v>
      </c>
      <c r="AD8" s="426">
        <f t="shared" si="19"/>
        <v>13.860000000000003</v>
      </c>
      <c r="AE8" s="430">
        <f t="shared" si="0"/>
        <v>1487.0514120000003</v>
      </c>
      <c r="AF8" s="430">
        <f t="shared" si="20"/>
        <v>118.96411296000002</v>
      </c>
    </row>
    <row r="9" spans="1:32" x14ac:dyDescent="0.25">
      <c r="A9" s="415" t="s">
        <v>53</v>
      </c>
      <c r="B9" s="416">
        <v>35.43</v>
      </c>
      <c r="C9" s="416">
        <f t="shared" si="1"/>
        <v>5.9050000000000002</v>
      </c>
      <c r="D9" s="416">
        <f t="shared" si="2"/>
        <v>4.9601999999999995</v>
      </c>
      <c r="E9" s="417">
        <v>0</v>
      </c>
      <c r="F9" s="418">
        <f t="shared" si="3"/>
        <v>0</v>
      </c>
      <c r="G9" s="418">
        <f t="shared" si="4"/>
        <v>46.295200000000001</v>
      </c>
      <c r="H9" s="419">
        <v>37</v>
      </c>
      <c r="I9" s="419">
        <v>4</v>
      </c>
      <c r="J9" s="419">
        <f t="shared" si="5"/>
        <v>2220</v>
      </c>
      <c r="K9" s="420">
        <f t="shared" si="6"/>
        <v>44.48</v>
      </c>
      <c r="L9" s="421">
        <v>37</v>
      </c>
      <c r="M9" s="421">
        <v>4</v>
      </c>
      <c r="N9" s="421">
        <f t="shared" si="7"/>
        <v>2220</v>
      </c>
      <c r="O9" s="422">
        <f t="shared" si="8"/>
        <v>44.48</v>
      </c>
      <c r="P9" s="423">
        <v>37</v>
      </c>
      <c r="Q9" s="423">
        <v>4</v>
      </c>
      <c r="R9" s="423">
        <f t="shared" si="9"/>
        <v>2220</v>
      </c>
      <c r="S9" s="424">
        <f t="shared" si="10"/>
        <v>44.48</v>
      </c>
      <c r="T9" s="425">
        <v>39</v>
      </c>
      <c r="U9" s="425">
        <v>22</v>
      </c>
      <c r="V9" s="425">
        <f t="shared" si="11"/>
        <v>2340</v>
      </c>
      <c r="W9" s="426">
        <f t="shared" si="12"/>
        <v>47.24</v>
      </c>
      <c r="X9" s="419">
        <f t="shared" si="13"/>
        <v>2.7600000000000051</v>
      </c>
      <c r="Y9" s="427">
        <f t="shared" si="14"/>
        <v>127.77475200000023</v>
      </c>
      <c r="Z9" s="421">
        <f t="shared" si="15"/>
        <v>2.7600000000000051</v>
      </c>
      <c r="AA9" s="428">
        <f t="shared" si="16"/>
        <v>127.77475200000023</v>
      </c>
      <c r="AB9" s="423">
        <f t="shared" si="17"/>
        <v>2.7600000000000051</v>
      </c>
      <c r="AC9" s="429">
        <f t="shared" si="18"/>
        <v>127.77475200000023</v>
      </c>
      <c r="AD9" s="426">
        <f t="shared" si="19"/>
        <v>8.2800000000000153</v>
      </c>
      <c r="AE9" s="430">
        <f t="shared" si="0"/>
        <v>383.32425600000073</v>
      </c>
      <c r="AF9" s="430">
        <f t="shared" si="20"/>
        <v>30.66594048000006</v>
      </c>
    </row>
    <row r="10" spans="1:32" x14ac:dyDescent="0.25">
      <c r="A10" s="415" t="s">
        <v>26</v>
      </c>
      <c r="B10" s="416">
        <v>51.52</v>
      </c>
      <c r="C10" s="416">
        <f t="shared" si="1"/>
        <v>8.5866666666666678</v>
      </c>
      <c r="D10" s="416">
        <f t="shared" si="2"/>
        <v>7.2127999999999997</v>
      </c>
      <c r="E10" s="417">
        <v>5</v>
      </c>
      <c r="F10" s="418">
        <f t="shared" si="3"/>
        <v>3.0053333333333336</v>
      </c>
      <c r="G10" s="418">
        <f t="shared" si="4"/>
        <v>70.32480000000001</v>
      </c>
      <c r="H10" s="419">
        <v>43</v>
      </c>
      <c r="I10" s="419">
        <v>31</v>
      </c>
      <c r="J10" s="419">
        <f t="shared" si="5"/>
        <v>2580</v>
      </c>
      <c r="K10" s="420">
        <f t="shared" si="6"/>
        <v>52.22</v>
      </c>
      <c r="L10" s="421">
        <v>43</v>
      </c>
      <c r="M10" s="421">
        <v>31</v>
      </c>
      <c r="N10" s="421">
        <f t="shared" si="7"/>
        <v>2580</v>
      </c>
      <c r="O10" s="422">
        <f t="shared" si="8"/>
        <v>52.22</v>
      </c>
      <c r="P10" s="423">
        <v>33</v>
      </c>
      <c r="Q10" s="423">
        <v>35</v>
      </c>
      <c r="R10" s="423">
        <f t="shared" si="9"/>
        <v>1980</v>
      </c>
      <c r="S10" s="424">
        <f t="shared" si="10"/>
        <v>40.299999999999997</v>
      </c>
      <c r="T10" s="425">
        <v>36</v>
      </c>
      <c r="U10" s="425">
        <v>0</v>
      </c>
      <c r="V10" s="425">
        <f t="shared" si="11"/>
        <v>2160</v>
      </c>
      <c r="W10" s="426">
        <f t="shared" si="12"/>
        <v>43.2</v>
      </c>
      <c r="X10" s="419">
        <f t="shared" si="13"/>
        <v>-9.019999999999996</v>
      </c>
      <c r="Y10" s="427">
        <v>0</v>
      </c>
      <c r="Z10" s="421">
        <f t="shared" si="15"/>
        <v>-9.019999999999996</v>
      </c>
      <c r="AA10" s="428">
        <v>0</v>
      </c>
      <c r="AB10" s="423">
        <f t="shared" si="17"/>
        <v>2.9000000000000057</v>
      </c>
      <c r="AC10" s="429">
        <f t="shared" si="18"/>
        <v>203.94192000000044</v>
      </c>
      <c r="AD10" s="426">
        <f>AB10</f>
        <v>2.9000000000000057</v>
      </c>
      <c r="AE10" s="430">
        <f t="shared" si="0"/>
        <v>203.94192000000044</v>
      </c>
      <c r="AF10" s="430">
        <f t="shared" si="20"/>
        <v>16.315353600000034</v>
      </c>
    </row>
    <row r="11" spans="1:32" x14ac:dyDescent="0.25">
      <c r="A11" s="415" t="s">
        <v>8</v>
      </c>
      <c r="B11" s="416">
        <v>95.54</v>
      </c>
      <c r="C11" s="416">
        <f t="shared" si="1"/>
        <v>15.923333333333334</v>
      </c>
      <c r="D11" s="416">
        <f t="shared" si="2"/>
        <v>13.3756</v>
      </c>
      <c r="E11" s="417">
        <v>15</v>
      </c>
      <c r="F11" s="418">
        <f t="shared" si="3"/>
        <v>16.7195</v>
      </c>
      <c r="G11" s="418">
        <f t="shared" si="4"/>
        <v>141.55843333333334</v>
      </c>
      <c r="H11" s="419">
        <v>40</v>
      </c>
      <c r="I11" s="419">
        <v>17</v>
      </c>
      <c r="J11" s="419">
        <f t="shared" si="5"/>
        <v>2400</v>
      </c>
      <c r="K11" s="420">
        <f t="shared" si="6"/>
        <v>48.34</v>
      </c>
      <c r="L11" s="421">
        <v>40</v>
      </c>
      <c r="M11" s="421">
        <v>17</v>
      </c>
      <c r="N11" s="421">
        <f t="shared" si="7"/>
        <v>2400</v>
      </c>
      <c r="O11" s="422">
        <f t="shared" si="8"/>
        <v>48.34</v>
      </c>
      <c r="P11" s="423">
        <v>38</v>
      </c>
      <c r="Q11" s="423">
        <v>14</v>
      </c>
      <c r="R11" s="423">
        <f t="shared" si="9"/>
        <v>2280</v>
      </c>
      <c r="S11" s="424">
        <f t="shared" si="10"/>
        <v>45.88</v>
      </c>
      <c r="T11" s="425">
        <v>49</v>
      </c>
      <c r="U11" s="425">
        <v>30</v>
      </c>
      <c r="V11" s="425">
        <f t="shared" si="11"/>
        <v>2940</v>
      </c>
      <c r="W11" s="426">
        <f t="shared" si="12"/>
        <v>59.4</v>
      </c>
      <c r="X11" s="419">
        <f t="shared" si="13"/>
        <v>11.059999999999995</v>
      </c>
      <c r="Y11" s="427">
        <f t="shared" si="14"/>
        <v>1565.6362726666662</v>
      </c>
      <c r="Z11" s="421">
        <f t="shared" si="15"/>
        <v>11.059999999999995</v>
      </c>
      <c r="AA11" s="428">
        <f t="shared" si="16"/>
        <v>1565.6362726666662</v>
      </c>
      <c r="AB11" s="423">
        <f t="shared" si="17"/>
        <v>13.519999999999996</v>
      </c>
      <c r="AC11" s="429">
        <f t="shared" si="18"/>
        <v>1913.8700186666663</v>
      </c>
      <c r="AD11" s="426">
        <f t="shared" si="19"/>
        <v>35.639999999999986</v>
      </c>
      <c r="AE11" s="430">
        <f t="shared" si="0"/>
        <v>5045.1425639999979</v>
      </c>
      <c r="AF11" s="430">
        <f t="shared" si="20"/>
        <v>403.61140511999986</v>
      </c>
    </row>
    <row r="12" spans="1:32" x14ac:dyDescent="0.25">
      <c r="A12" s="415" t="s">
        <v>27</v>
      </c>
      <c r="B12" s="416">
        <v>51.52</v>
      </c>
      <c r="C12" s="416">
        <f t="shared" si="1"/>
        <v>8.5866666666666678</v>
      </c>
      <c r="D12" s="416">
        <f t="shared" si="2"/>
        <v>7.2127999999999997</v>
      </c>
      <c r="E12" s="417">
        <v>10</v>
      </c>
      <c r="F12" s="418">
        <f t="shared" si="3"/>
        <v>6.0106666666666673</v>
      </c>
      <c r="G12" s="418">
        <f t="shared" si="4"/>
        <v>73.330133333333336</v>
      </c>
      <c r="H12" s="419">
        <v>6</v>
      </c>
      <c r="I12" s="419">
        <v>45</v>
      </c>
      <c r="J12" s="419">
        <f t="shared" si="5"/>
        <v>360</v>
      </c>
      <c r="K12" s="420">
        <f t="shared" si="6"/>
        <v>8.1</v>
      </c>
      <c r="L12" s="421">
        <v>6</v>
      </c>
      <c r="M12" s="421">
        <v>45</v>
      </c>
      <c r="N12" s="421">
        <f t="shared" si="7"/>
        <v>360</v>
      </c>
      <c r="O12" s="422">
        <f t="shared" si="8"/>
        <v>8.1</v>
      </c>
      <c r="P12" s="423">
        <v>6</v>
      </c>
      <c r="Q12" s="423">
        <v>45</v>
      </c>
      <c r="R12" s="423">
        <f t="shared" si="9"/>
        <v>360</v>
      </c>
      <c r="S12" s="424">
        <f t="shared" si="10"/>
        <v>8.1</v>
      </c>
      <c r="T12" s="425">
        <v>9</v>
      </c>
      <c r="U12" s="425">
        <v>0</v>
      </c>
      <c r="V12" s="425">
        <f t="shared" si="11"/>
        <v>540</v>
      </c>
      <c r="W12" s="426">
        <f t="shared" si="12"/>
        <v>10.8</v>
      </c>
      <c r="X12" s="419">
        <f t="shared" si="13"/>
        <v>2.7000000000000011</v>
      </c>
      <c r="Y12" s="427">
        <f t="shared" si="14"/>
        <v>197.9913600000001</v>
      </c>
      <c r="Z12" s="421">
        <f t="shared" si="15"/>
        <v>2.7000000000000011</v>
      </c>
      <c r="AA12" s="428">
        <f t="shared" si="16"/>
        <v>197.9913600000001</v>
      </c>
      <c r="AB12" s="423">
        <f t="shared" si="17"/>
        <v>2.7000000000000011</v>
      </c>
      <c r="AC12" s="429">
        <f t="shared" si="18"/>
        <v>197.9913600000001</v>
      </c>
      <c r="AD12" s="426">
        <f t="shared" si="19"/>
        <v>8.1000000000000032</v>
      </c>
      <c r="AE12" s="430">
        <f t="shared" si="0"/>
        <v>593.9740800000003</v>
      </c>
      <c r="AF12" s="430">
        <f t="shared" si="20"/>
        <v>47.517926400000022</v>
      </c>
    </row>
    <row r="13" spans="1:32" x14ac:dyDescent="0.25">
      <c r="A13" s="415" t="s">
        <v>274</v>
      </c>
      <c r="B13" s="416">
        <v>35.43</v>
      </c>
      <c r="C13" s="416">
        <f t="shared" si="1"/>
        <v>5.9050000000000002</v>
      </c>
      <c r="D13" s="416">
        <f t="shared" si="2"/>
        <v>4.9601999999999995</v>
      </c>
      <c r="E13" s="417">
        <v>0</v>
      </c>
      <c r="F13" s="418">
        <f t="shared" si="3"/>
        <v>0</v>
      </c>
      <c r="G13" s="418">
        <f t="shared" si="4"/>
        <v>46.295200000000001</v>
      </c>
      <c r="H13" s="419">
        <v>40</v>
      </c>
      <c r="I13" s="419">
        <v>18</v>
      </c>
      <c r="J13" s="419">
        <f t="shared" si="5"/>
        <v>2400</v>
      </c>
      <c r="K13" s="420">
        <f t="shared" si="6"/>
        <v>48.36</v>
      </c>
      <c r="L13" s="421">
        <v>40</v>
      </c>
      <c r="M13" s="421">
        <v>18</v>
      </c>
      <c r="N13" s="421">
        <f t="shared" si="7"/>
        <v>2400</v>
      </c>
      <c r="O13" s="422">
        <f t="shared" si="8"/>
        <v>48.36</v>
      </c>
      <c r="P13" s="423">
        <v>40</v>
      </c>
      <c r="Q13" s="423">
        <v>18</v>
      </c>
      <c r="R13" s="423">
        <f t="shared" si="9"/>
        <v>2400</v>
      </c>
      <c r="S13" s="424">
        <f t="shared" si="10"/>
        <v>48.36</v>
      </c>
      <c r="T13" s="425">
        <v>46</v>
      </c>
      <c r="U13" s="425">
        <v>7</v>
      </c>
      <c r="V13" s="425">
        <f t="shared" si="11"/>
        <v>2760</v>
      </c>
      <c r="W13" s="426">
        <f t="shared" si="12"/>
        <v>55.34</v>
      </c>
      <c r="X13" s="419">
        <f t="shared" si="13"/>
        <v>6.980000000000004</v>
      </c>
      <c r="Y13" s="427">
        <f t="shared" si="14"/>
        <v>323.14049600000021</v>
      </c>
      <c r="Z13" s="421">
        <f t="shared" si="15"/>
        <v>6.980000000000004</v>
      </c>
      <c r="AA13" s="428">
        <f t="shared" si="16"/>
        <v>323.14049600000021</v>
      </c>
      <c r="AB13" s="423">
        <f t="shared" si="17"/>
        <v>6.980000000000004</v>
      </c>
      <c r="AC13" s="429">
        <f t="shared" si="18"/>
        <v>323.14049600000021</v>
      </c>
      <c r="AD13" s="426">
        <f t="shared" si="19"/>
        <v>20.940000000000012</v>
      </c>
      <c r="AE13" s="430">
        <f t="shared" si="0"/>
        <v>969.42148800000052</v>
      </c>
      <c r="AF13" s="430">
        <f t="shared" si="20"/>
        <v>77.553719040000047</v>
      </c>
    </row>
    <row r="14" spans="1:32" x14ac:dyDescent="0.25">
      <c r="A14" s="415" t="s">
        <v>74</v>
      </c>
      <c r="B14" s="416">
        <v>43.87</v>
      </c>
      <c r="C14" s="416">
        <f t="shared" si="1"/>
        <v>7.3116666666666665</v>
      </c>
      <c r="D14" s="416">
        <f t="shared" si="2"/>
        <v>6.1417999999999999</v>
      </c>
      <c r="E14" s="417">
        <v>0</v>
      </c>
      <c r="F14" s="418">
        <f t="shared" si="3"/>
        <v>0</v>
      </c>
      <c r="G14" s="418">
        <f t="shared" si="4"/>
        <v>57.323466666666661</v>
      </c>
      <c r="H14" s="419">
        <v>77</v>
      </c>
      <c r="I14" s="419">
        <v>22</v>
      </c>
      <c r="J14" s="419">
        <f t="shared" si="5"/>
        <v>4620</v>
      </c>
      <c r="K14" s="420">
        <f t="shared" si="6"/>
        <v>92.84</v>
      </c>
      <c r="L14" s="421">
        <v>77</v>
      </c>
      <c r="M14" s="421">
        <v>22</v>
      </c>
      <c r="N14" s="421">
        <f t="shared" si="7"/>
        <v>4620</v>
      </c>
      <c r="O14" s="422">
        <f t="shared" si="8"/>
        <v>92.84</v>
      </c>
      <c r="P14" s="423">
        <v>62</v>
      </c>
      <c r="Q14" s="423">
        <v>35</v>
      </c>
      <c r="R14" s="423">
        <f t="shared" si="9"/>
        <v>3720</v>
      </c>
      <c r="S14" s="424">
        <f t="shared" si="10"/>
        <v>75.099999999999994</v>
      </c>
      <c r="T14" s="425">
        <v>96</v>
      </c>
      <c r="U14" s="425">
        <v>45</v>
      </c>
      <c r="V14" s="425">
        <f t="shared" si="11"/>
        <v>5760</v>
      </c>
      <c r="W14" s="426">
        <f t="shared" si="12"/>
        <v>116.1</v>
      </c>
      <c r="X14" s="419">
        <f t="shared" si="13"/>
        <v>23.259999999999991</v>
      </c>
      <c r="Y14" s="427">
        <f t="shared" si="14"/>
        <v>1333.343834666666</v>
      </c>
      <c r="Z14" s="421">
        <f t="shared" si="15"/>
        <v>23.259999999999991</v>
      </c>
      <c r="AA14" s="428">
        <f t="shared" si="16"/>
        <v>1333.343834666666</v>
      </c>
      <c r="AB14" s="423">
        <f t="shared" si="17"/>
        <v>41</v>
      </c>
      <c r="AC14" s="429">
        <f t="shared" si="18"/>
        <v>2350.2621333333332</v>
      </c>
      <c r="AD14" s="426">
        <f t="shared" si="19"/>
        <v>87.519999999999982</v>
      </c>
      <c r="AE14" s="430">
        <f t="shared" si="0"/>
        <v>5016.9498026666652</v>
      </c>
      <c r="AF14" s="430">
        <f t="shared" si="20"/>
        <v>401.35598421333322</v>
      </c>
    </row>
    <row r="15" spans="1:32" x14ac:dyDescent="0.25">
      <c r="A15" s="415" t="s">
        <v>77</v>
      </c>
      <c r="B15" s="416">
        <v>35.43</v>
      </c>
      <c r="C15" s="416">
        <f t="shared" si="1"/>
        <v>5.9050000000000002</v>
      </c>
      <c r="D15" s="416">
        <f t="shared" si="2"/>
        <v>4.9601999999999995</v>
      </c>
      <c r="E15" s="417">
        <v>0</v>
      </c>
      <c r="F15" s="418">
        <f t="shared" si="3"/>
        <v>0</v>
      </c>
      <c r="G15" s="418">
        <f t="shared" si="4"/>
        <v>46.295200000000001</v>
      </c>
      <c r="H15" s="419">
        <v>27</v>
      </c>
      <c r="I15" s="419">
        <v>0</v>
      </c>
      <c r="J15" s="419">
        <f t="shared" si="5"/>
        <v>1620</v>
      </c>
      <c r="K15" s="420">
        <f t="shared" si="6"/>
        <v>32.4</v>
      </c>
      <c r="L15" s="421">
        <v>27</v>
      </c>
      <c r="M15" s="421">
        <v>0</v>
      </c>
      <c r="N15" s="421">
        <f t="shared" si="7"/>
        <v>1620</v>
      </c>
      <c r="O15" s="422">
        <f t="shared" si="8"/>
        <v>32.4</v>
      </c>
      <c r="P15" s="423">
        <v>27</v>
      </c>
      <c r="Q15" s="423">
        <v>0</v>
      </c>
      <c r="R15" s="423">
        <f t="shared" si="9"/>
        <v>1620</v>
      </c>
      <c r="S15" s="424">
        <f t="shared" si="10"/>
        <v>32.4</v>
      </c>
      <c r="T15" s="425">
        <v>36</v>
      </c>
      <c r="U15" s="425">
        <v>0</v>
      </c>
      <c r="V15" s="425">
        <f t="shared" si="11"/>
        <v>2160</v>
      </c>
      <c r="W15" s="426">
        <f t="shared" si="12"/>
        <v>43.2</v>
      </c>
      <c r="X15" s="419">
        <f t="shared" si="13"/>
        <v>10.800000000000004</v>
      </c>
      <c r="Y15" s="427">
        <f t="shared" si="14"/>
        <v>499.98816000000022</v>
      </c>
      <c r="Z15" s="421">
        <f t="shared" si="15"/>
        <v>10.800000000000004</v>
      </c>
      <c r="AA15" s="428">
        <f t="shared" si="16"/>
        <v>499.98816000000022</v>
      </c>
      <c r="AB15" s="423">
        <f t="shared" si="17"/>
        <v>10.800000000000004</v>
      </c>
      <c r="AC15" s="429">
        <f t="shared" si="18"/>
        <v>499.98816000000022</v>
      </c>
      <c r="AD15" s="426">
        <f t="shared" si="19"/>
        <v>32.400000000000013</v>
      </c>
      <c r="AE15" s="430">
        <f t="shared" si="0"/>
        <v>1499.9644800000005</v>
      </c>
      <c r="AF15" s="430">
        <f t="shared" si="20"/>
        <v>119.99715840000005</v>
      </c>
    </row>
    <row r="16" spans="1:32" x14ac:dyDescent="0.25">
      <c r="A16" s="415" t="s">
        <v>104</v>
      </c>
      <c r="B16" s="416">
        <v>84.72</v>
      </c>
      <c r="C16" s="416">
        <f t="shared" si="1"/>
        <v>14.12</v>
      </c>
      <c r="D16" s="416">
        <f t="shared" si="2"/>
        <v>11.860799999999999</v>
      </c>
      <c r="E16" s="417">
        <v>10</v>
      </c>
      <c r="F16" s="418">
        <f t="shared" si="3"/>
        <v>9.8840000000000003</v>
      </c>
      <c r="G16" s="418">
        <f t="shared" si="4"/>
        <v>120.5848</v>
      </c>
      <c r="H16" s="419">
        <v>13</v>
      </c>
      <c r="I16" s="419">
        <v>18</v>
      </c>
      <c r="J16" s="419">
        <f t="shared" si="5"/>
        <v>780</v>
      </c>
      <c r="K16" s="420">
        <f t="shared" si="6"/>
        <v>15.96</v>
      </c>
      <c r="L16" s="421">
        <v>13</v>
      </c>
      <c r="M16" s="421">
        <v>18</v>
      </c>
      <c r="N16" s="421">
        <f t="shared" si="7"/>
        <v>780</v>
      </c>
      <c r="O16" s="422">
        <f t="shared" si="8"/>
        <v>15.96</v>
      </c>
      <c r="P16" s="423">
        <v>13</v>
      </c>
      <c r="Q16" s="423">
        <v>18</v>
      </c>
      <c r="R16" s="423">
        <f t="shared" si="9"/>
        <v>780</v>
      </c>
      <c r="S16" s="424">
        <f t="shared" si="10"/>
        <v>15.96</v>
      </c>
      <c r="T16" s="425">
        <v>18</v>
      </c>
      <c r="U16" s="425">
        <v>0</v>
      </c>
      <c r="V16" s="425">
        <f t="shared" si="11"/>
        <v>1080</v>
      </c>
      <c r="W16" s="426">
        <f t="shared" si="12"/>
        <v>21.6</v>
      </c>
      <c r="X16" s="419">
        <f t="shared" si="13"/>
        <v>5.6400000000000006</v>
      </c>
      <c r="Y16" s="427">
        <f t="shared" si="14"/>
        <v>680.09827200000007</v>
      </c>
      <c r="Z16" s="421">
        <f t="shared" si="15"/>
        <v>5.6400000000000006</v>
      </c>
      <c r="AA16" s="428">
        <f t="shared" si="16"/>
        <v>680.09827200000007</v>
      </c>
      <c r="AB16" s="423">
        <f t="shared" si="17"/>
        <v>5.6400000000000006</v>
      </c>
      <c r="AC16" s="429">
        <f t="shared" si="18"/>
        <v>680.09827200000007</v>
      </c>
      <c r="AD16" s="426">
        <f t="shared" si="19"/>
        <v>16.920000000000002</v>
      </c>
      <c r="AE16" s="430">
        <f t="shared" si="0"/>
        <v>2040.2948160000003</v>
      </c>
      <c r="AF16" s="430">
        <f t="shared" si="20"/>
        <v>163.22358528000004</v>
      </c>
    </row>
    <row r="17" spans="1:32" x14ac:dyDescent="0.25">
      <c r="A17" s="415" t="s">
        <v>31</v>
      </c>
      <c r="B17" s="416">
        <v>51.52</v>
      </c>
      <c r="C17" s="416">
        <f t="shared" si="1"/>
        <v>8.5866666666666678</v>
      </c>
      <c r="D17" s="416">
        <f t="shared" si="2"/>
        <v>7.2127999999999997</v>
      </c>
      <c r="E17" s="417">
        <v>10</v>
      </c>
      <c r="F17" s="418">
        <f t="shared" si="3"/>
        <v>6.0106666666666673</v>
      </c>
      <c r="G17" s="418">
        <f t="shared" si="4"/>
        <v>73.330133333333336</v>
      </c>
      <c r="H17" s="419">
        <v>33</v>
      </c>
      <c r="I17" s="419">
        <v>27</v>
      </c>
      <c r="J17" s="419">
        <f t="shared" si="5"/>
        <v>1980</v>
      </c>
      <c r="K17" s="420">
        <f t="shared" si="6"/>
        <v>40.14</v>
      </c>
      <c r="L17" s="421">
        <v>33</v>
      </c>
      <c r="M17" s="421">
        <v>27</v>
      </c>
      <c r="N17" s="421">
        <f t="shared" si="7"/>
        <v>1980</v>
      </c>
      <c r="O17" s="422">
        <f t="shared" si="8"/>
        <v>40.14</v>
      </c>
      <c r="P17" s="423">
        <v>33</v>
      </c>
      <c r="Q17" s="423">
        <v>27</v>
      </c>
      <c r="R17" s="423">
        <f t="shared" si="9"/>
        <v>1980</v>
      </c>
      <c r="S17" s="424">
        <f t="shared" si="10"/>
        <v>40.14</v>
      </c>
      <c r="T17" s="425">
        <v>45</v>
      </c>
      <c r="U17" s="425">
        <v>0</v>
      </c>
      <c r="V17" s="425">
        <f t="shared" si="11"/>
        <v>2700</v>
      </c>
      <c r="W17" s="426">
        <f t="shared" si="12"/>
        <v>54</v>
      </c>
      <c r="X17" s="419">
        <f t="shared" si="13"/>
        <v>13.86</v>
      </c>
      <c r="Y17" s="427">
        <f t="shared" si="14"/>
        <v>1016.355648</v>
      </c>
      <c r="Z17" s="421">
        <f t="shared" si="15"/>
        <v>13.86</v>
      </c>
      <c r="AA17" s="428">
        <f t="shared" si="16"/>
        <v>1016.355648</v>
      </c>
      <c r="AB17" s="423">
        <f t="shared" si="17"/>
        <v>13.86</v>
      </c>
      <c r="AC17" s="429">
        <f t="shared" si="18"/>
        <v>1016.355648</v>
      </c>
      <c r="AD17" s="426">
        <f t="shared" si="19"/>
        <v>41.58</v>
      </c>
      <c r="AE17" s="430">
        <f t="shared" si="0"/>
        <v>3049.0669440000001</v>
      </c>
      <c r="AF17" s="430">
        <f t="shared" si="20"/>
        <v>243.92535552000001</v>
      </c>
    </row>
    <row r="18" spans="1:32" x14ac:dyDescent="0.25">
      <c r="A18" s="415" t="s">
        <v>275</v>
      </c>
      <c r="B18" s="416">
        <v>51.52</v>
      </c>
      <c r="C18" s="416">
        <f t="shared" si="1"/>
        <v>8.5866666666666678</v>
      </c>
      <c r="D18" s="416">
        <f t="shared" si="2"/>
        <v>7.2127999999999997</v>
      </c>
      <c r="E18" s="417">
        <v>5</v>
      </c>
      <c r="F18" s="418">
        <f t="shared" si="3"/>
        <v>3.0053333333333336</v>
      </c>
      <c r="G18" s="418">
        <f t="shared" si="4"/>
        <v>70.32480000000001</v>
      </c>
      <c r="H18" s="419">
        <v>16</v>
      </c>
      <c r="I18" s="419">
        <v>31</v>
      </c>
      <c r="J18" s="419">
        <f t="shared" si="5"/>
        <v>960</v>
      </c>
      <c r="K18" s="420">
        <f t="shared" si="6"/>
        <v>19.82</v>
      </c>
      <c r="L18" s="421">
        <v>16</v>
      </c>
      <c r="M18" s="421">
        <v>31</v>
      </c>
      <c r="N18" s="421">
        <f t="shared" si="7"/>
        <v>960</v>
      </c>
      <c r="O18" s="422">
        <f t="shared" si="8"/>
        <v>19.82</v>
      </c>
      <c r="P18" s="423">
        <v>20</v>
      </c>
      <c r="Q18" s="423">
        <v>11</v>
      </c>
      <c r="R18" s="423">
        <f t="shared" si="9"/>
        <v>1200</v>
      </c>
      <c r="S18" s="424">
        <f t="shared" si="10"/>
        <v>24.22</v>
      </c>
      <c r="T18" s="425">
        <v>20</v>
      </c>
      <c r="U18" s="425">
        <v>25</v>
      </c>
      <c r="V18" s="425">
        <f t="shared" si="11"/>
        <v>1200</v>
      </c>
      <c r="W18" s="426">
        <f t="shared" si="12"/>
        <v>24.5</v>
      </c>
      <c r="X18" s="419">
        <f t="shared" si="13"/>
        <v>4.68</v>
      </c>
      <c r="Y18" s="427">
        <f t="shared" si="14"/>
        <v>329.12006400000001</v>
      </c>
      <c r="Z18" s="421">
        <f t="shared" si="15"/>
        <v>4.68</v>
      </c>
      <c r="AA18" s="428">
        <f t="shared" si="16"/>
        <v>329.12006400000001</v>
      </c>
      <c r="AB18" s="423">
        <f t="shared" si="17"/>
        <v>0.28000000000000114</v>
      </c>
      <c r="AC18" s="429">
        <f t="shared" si="18"/>
        <v>19.690944000000083</v>
      </c>
      <c r="AD18" s="426">
        <f t="shared" si="19"/>
        <v>9.64</v>
      </c>
      <c r="AE18" s="430">
        <f t="shared" si="0"/>
        <v>677.93107200000009</v>
      </c>
      <c r="AF18" s="430">
        <f t="shared" si="20"/>
        <v>54.234485760000005</v>
      </c>
    </row>
    <row r="19" spans="1:32" x14ac:dyDescent="0.25">
      <c r="A19" s="415" t="s">
        <v>94</v>
      </c>
      <c r="B19" s="416">
        <v>43.87</v>
      </c>
      <c r="C19" s="416">
        <f t="shared" si="1"/>
        <v>7.3116666666666665</v>
      </c>
      <c r="D19" s="416">
        <f t="shared" si="2"/>
        <v>6.1417999999999999</v>
      </c>
      <c r="E19" s="417">
        <v>0</v>
      </c>
      <c r="F19" s="418">
        <f t="shared" si="3"/>
        <v>0</v>
      </c>
      <c r="G19" s="418">
        <f t="shared" si="4"/>
        <v>57.323466666666661</v>
      </c>
      <c r="H19" s="419">
        <v>27</v>
      </c>
      <c r="I19" s="419">
        <v>0</v>
      </c>
      <c r="J19" s="419">
        <f t="shared" si="5"/>
        <v>1620</v>
      </c>
      <c r="K19" s="420">
        <f t="shared" si="6"/>
        <v>32.4</v>
      </c>
      <c r="L19" s="421">
        <v>27</v>
      </c>
      <c r="M19" s="421">
        <v>0</v>
      </c>
      <c r="N19" s="421">
        <f t="shared" si="7"/>
        <v>1620</v>
      </c>
      <c r="O19" s="422">
        <f t="shared" si="8"/>
        <v>32.4</v>
      </c>
      <c r="P19" s="423">
        <v>27</v>
      </c>
      <c r="Q19" s="423">
        <v>0</v>
      </c>
      <c r="R19" s="423">
        <f t="shared" si="9"/>
        <v>1620</v>
      </c>
      <c r="S19" s="424">
        <f t="shared" si="10"/>
        <v>32.4</v>
      </c>
      <c r="T19" s="425">
        <v>36</v>
      </c>
      <c r="U19" s="425">
        <v>0</v>
      </c>
      <c r="V19" s="425">
        <f t="shared" si="11"/>
        <v>2160</v>
      </c>
      <c r="W19" s="426">
        <f t="shared" si="12"/>
        <v>43.2</v>
      </c>
      <c r="X19" s="419">
        <f t="shared" si="13"/>
        <v>10.800000000000004</v>
      </c>
      <c r="Y19" s="427">
        <f t="shared" si="14"/>
        <v>619.09344000000021</v>
      </c>
      <c r="Z19" s="421">
        <f t="shared" si="15"/>
        <v>10.800000000000004</v>
      </c>
      <c r="AA19" s="428">
        <f t="shared" si="16"/>
        <v>619.09344000000021</v>
      </c>
      <c r="AB19" s="423">
        <f t="shared" si="17"/>
        <v>10.800000000000004</v>
      </c>
      <c r="AC19" s="429">
        <f t="shared" si="18"/>
        <v>619.09344000000021</v>
      </c>
      <c r="AD19" s="426">
        <f t="shared" si="19"/>
        <v>32.400000000000013</v>
      </c>
      <c r="AE19" s="430">
        <f t="shared" si="0"/>
        <v>1857.2803200000005</v>
      </c>
      <c r="AF19" s="430">
        <f t="shared" si="20"/>
        <v>148.58242560000005</v>
      </c>
    </row>
    <row r="20" spans="1:32" x14ac:dyDescent="0.25">
      <c r="A20" s="415" t="s">
        <v>95</v>
      </c>
      <c r="B20" s="416">
        <v>35.43</v>
      </c>
      <c r="C20" s="416">
        <f t="shared" si="1"/>
        <v>5.9050000000000002</v>
      </c>
      <c r="D20" s="416">
        <f t="shared" si="2"/>
        <v>4.9601999999999995</v>
      </c>
      <c r="E20" s="417">
        <v>0</v>
      </c>
      <c r="F20" s="418">
        <f t="shared" si="3"/>
        <v>0</v>
      </c>
      <c r="G20" s="418">
        <f t="shared" si="4"/>
        <v>46.295200000000001</v>
      </c>
      <c r="H20" s="419">
        <v>13</v>
      </c>
      <c r="I20" s="419">
        <v>18</v>
      </c>
      <c r="J20" s="419">
        <f t="shared" si="5"/>
        <v>780</v>
      </c>
      <c r="K20" s="420">
        <f t="shared" si="6"/>
        <v>15.96</v>
      </c>
      <c r="L20" s="421">
        <v>13</v>
      </c>
      <c r="M20" s="421">
        <v>18</v>
      </c>
      <c r="N20" s="421">
        <f t="shared" si="7"/>
        <v>780</v>
      </c>
      <c r="O20" s="422">
        <f t="shared" si="8"/>
        <v>15.96</v>
      </c>
      <c r="P20" s="423">
        <v>13</v>
      </c>
      <c r="Q20" s="423">
        <v>18</v>
      </c>
      <c r="R20" s="423">
        <f t="shared" si="9"/>
        <v>780</v>
      </c>
      <c r="S20" s="424">
        <f t="shared" si="10"/>
        <v>15.96</v>
      </c>
      <c r="T20" s="425">
        <v>18</v>
      </c>
      <c r="U20" s="425">
        <v>0</v>
      </c>
      <c r="V20" s="425">
        <f t="shared" si="11"/>
        <v>1080</v>
      </c>
      <c r="W20" s="426">
        <f t="shared" si="12"/>
        <v>21.6</v>
      </c>
      <c r="X20" s="419">
        <f t="shared" si="13"/>
        <v>5.6400000000000006</v>
      </c>
      <c r="Y20" s="427">
        <f t="shared" si="14"/>
        <v>261.10492800000003</v>
      </c>
      <c r="Z20" s="421">
        <f t="shared" si="15"/>
        <v>5.6400000000000006</v>
      </c>
      <c r="AA20" s="428">
        <f t="shared" si="16"/>
        <v>261.10492800000003</v>
      </c>
      <c r="AB20" s="423">
        <f t="shared" si="17"/>
        <v>5.6400000000000006</v>
      </c>
      <c r="AC20" s="429">
        <f t="shared" si="18"/>
        <v>261.10492800000003</v>
      </c>
      <c r="AD20" s="426">
        <f t="shared" si="19"/>
        <v>16.920000000000002</v>
      </c>
      <c r="AE20" s="430">
        <f t="shared" si="0"/>
        <v>783.31478400000015</v>
      </c>
      <c r="AF20" s="430">
        <f t="shared" si="20"/>
        <v>62.665182720000011</v>
      </c>
    </row>
    <row r="21" spans="1:32" x14ac:dyDescent="0.25">
      <c r="A21" s="252"/>
      <c r="B21" s="252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R21" s="252"/>
      <c r="S21" s="252"/>
      <c r="T21" s="252"/>
      <c r="U21" s="252"/>
      <c r="V21" s="252"/>
      <c r="W21" s="252"/>
      <c r="X21" s="252"/>
      <c r="Y21" s="252"/>
      <c r="Z21" s="252"/>
      <c r="AA21" s="252"/>
      <c r="AB21" s="252"/>
      <c r="AC21" s="252"/>
      <c r="AD21" s="252"/>
      <c r="AE21" s="430">
        <f>SUM(AE3:AE20)</f>
        <v>31289.948834666662</v>
      </c>
      <c r="AF21" s="430">
        <f t="shared" si="20"/>
        <v>2503.1959067733328</v>
      </c>
    </row>
    <row r="22" spans="1:32" x14ac:dyDescent="0.25">
      <c r="A22" s="252"/>
      <c r="B22" s="252"/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2"/>
      <c r="T22" s="252"/>
      <c r="U22" s="252"/>
      <c r="V22" s="252"/>
      <c r="W22" s="252"/>
      <c r="X22" s="252"/>
      <c r="Y22" s="252"/>
      <c r="Z22" s="252"/>
      <c r="AA22" s="252"/>
      <c r="AB22" s="252"/>
      <c r="AC22" s="252"/>
      <c r="AD22" s="252"/>
      <c r="AE22" s="252"/>
      <c r="AF22" s="252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E5CD7-E560-4773-8219-95B910B0FDA6}">
  <sheetPr>
    <tabColor rgb="FF00B050"/>
    <pageSetUpPr fitToPage="1"/>
  </sheetPr>
  <dimension ref="A1:T154"/>
  <sheetViews>
    <sheetView showGridLines="0" topLeftCell="A127" zoomScaleNormal="100" workbookViewId="0">
      <selection activeCell="M127" sqref="M1:N1048576"/>
    </sheetView>
  </sheetViews>
  <sheetFormatPr defaultRowHeight="15" x14ac:dyDescent="0.25"/>
  <cols>
    <col min="1" max="1" width="7.7109375" style="60" customWidth="1"/>
    <col min="2" max="2" width="43.85546875" style="60" customWidth="1"/>
    <col min="3" max="3" width="14.7109375" style="59" customWidth="1"/>
    <col min="4" max="4" width="12.140625" style="69" customWidth="1"/>
    <col min="5" max="5" width="12.28515625" style="69" customWidth="1"/>
    <col min="6" max="6" width="12.42578125" style="69" customWidth="1"/>
    <col min="7" max="7" width="11.7109375" style="69" customWidth="1"/>
    <col min="8" max="8" width="12.140625" style="69" customWidth="1"/>
    <col min="9" max="9" width="11.140625" style="69" customWidth="1"/>
    <col min="10" max="11" width="12.5703125" style="60" hidden="1" customWidth="1"/>
    <col min="12" max="12" width="14" style="60" hidden="1" customWidth="1"/>
    <col min="13" max="14" width="16.140625" style="60" hidden="1" customWidth="1"/>
    <col min="15" max="17" width="9.140625" style="60" customWidth="1"/>
    <col min="18" max="18" width="12.7109375" style="60" bestFit="1" customWidth="1"/>
    <col min="19" max="19" width="9.140625" style="60"/>
    <col min="20" max="20" width="10.5703125" style="60" bestFit="1" customWidth="1"/>
    <col min="21" max="16384" width="9.140625" style="60"/>
  </cols>
  <sheetData>
    <row r="1" spans="1:14" ht="15.75" x14ac:dyDescent="0.25">
      <c r="A1" s="168"/>
      <c r="B1" s="283" t="s">
        <v>171</v>
      </c>
      <c r="C1" s="284"/>
      <c r="D1" s="169"/>
      <c r="E1" s="169"/>
      <c r="F1" s="169"/>
      <c r="G1" s="169"/>
      <c r="H1" s="169"/>
      <c r="I1" s="169"/>
      <c r="J1" s="170"/>
      <c r="K1" s="170"/>
      <c r="L1" s="170"/>
      <c r="M1" s="170"/>
      <c r="N1" s="170"/>
    </row>
    <row r="2" spans="1:14" ht="15.75" x14ac:dyDescent="0.25">
      <c r="A2" s="171"/>
      <c r="B2" s="285" t="s">
        <v>182</v>
      </c>
      <c r="C2" s="286"/>
      <c r="D2" s="58"/>
      <c r="E2" s="58"/>
      <c r="F2" s="58"/>
      <c r="G2" s="58"/>
      <c r="H2" s="58"/>
      <c r="I2" s="58"/>
      <c r="J2" s="59"/>
      <c r="K2" s="59"/>
      <c r="L2" s="59"/>
      <c r="M2" s="59"/>
      <c r="N2" s="59"/>
    </row>
    <row r="3" spans="1:14" x14ac:dyDescent="0.25">
      <c r="A3" s="172"/>
      <c r="B3" s="287" t="s">
        <v>201</v>
      </c>
      <c r="C3" s="288"/>
      <c r="D3" s="174"/>
      <c r="E3" s="174"/>
      <c r="F3" s="174"/>
      <c r="G3" s="174"/>
      <c r="H3" s="174"/>
      <c r="I3" s="174"/>
      <c r="J3" s="173"/>
      <c r="K3" s="173"/>
      <c r="L3" s="173"/>
      <c r="M3" s="173"/>
      <c r="N3" s="173"/>
    </row>
    <row r="4" spans="1:14" ht="45" x14ac:dyDescent="0.25">
      <c r="A4" s="289" t="s">
        <v>143</v>
      </c>
      <c r="B4" s="183" t="s">
        <v>144</v>
      </c>
      <c r="C4" s="175" t="s">
        <v>172</v>
      </c>
      <c r="D4" s="164" t="s">
        <v>145</v>
      </c>
      <c r="E4" s="175" t="s">
        <v>177</v>
      </c>
      <c r="F4" s="175" t="s">
        <v>178</v>
      </c>
      <c r="G4" s="175" t="s">
        <v>179</v>
      </c>
      <c r="H4" s="175" t="s">
        <v>146</v>
      </c>
      <c r="I4" s="175" t="s">
        <v>212</v>
      </c>
      <c r="J4" s="164" t="s">
        <v>147</v>
      </c>
      <c r="K4" s="39" t="s">
        <v>213</v>
      </c>
      <c r="L4" s="39" t="s">
        <v>214</v>
      </c>
      <c r="M4" s="290" t="s">
        <v>252</v>
      </c>
      <c r="N4" s="290" t="s">
        <v>256</v>
      </c>
    </row>
    <row r="5" spans="1:14" ht="17.25" customHeight="1" x14ac:dyDescent="0.25">
      <c r="A5" s="494">
        <v>0.65</v>
      </c>
      <c r="B5" s="499" t="s">
        <v>1</v>
      </c>
      <c r="C5" s="496">
        <v>3858.8</v>
      </c>
      <c r="D5" s="497">
        <f>ROUND(C5*A5,2)</f>
        <v>2508.2199999999998</v>
      </c>
      <c r="E5" s="179"/>
      <c r="F5" s="75">
        <f>ROUND(D5*40%,2)</f>
        <v>1003.29</v>
      </c>
      <c r="G5" s="75">
        <v>0</v>
      </c>
      <c r="H5" s="497">
        <f>SUM(C5-F5-G6)</f>
        <v>1350.5800000000004</v>
      </c>
      <c r="I5" s="179">
        <f t="shared" ref="I5:I63" si="0">C5*8%</f>
        <v>308.70400000000001</v>
      </c>
      <c r="J5" s="76">
        <v>44305</v>
      </c>
      <c r="K5" s="76">
        <v>44293</v>
      </c>
      <c r="L5" s="244">
        <f t="shared" ref="L5:L63" si="1">J5-K5</f>
        <v>12</v>
      </c>
      <c r="M5" s="363">
        <v>9.1499999999999998E-2</v>
      </c>
      <c r="N5" s="291">
        <f t="shared" ref="N5:N24" si="2">SUM(H5)*M5</f>
        <v>123.57807000000003</v>
      </c>
    </row>
    <row r="6" spans="1:14" ht="17.25" customHeight="1" x14ac:dyDescent="0.25">
      <c r="A6" s="494"/>
      <c r="B6" s="499"/>
      <c r="C6" s="496"/>
      <c r="D6" s="497"/>
      <c r="E6" s="179"/>
      <c r="F6" s="75">
        <v>0</v>
      </c>
      <c r="G6" s="75">
        <f>D5-F5</f>
        <v>1504.9299999999998</v>
      </c>
      <c r="H6" s="497"/>
      <c r="I6" s="179">
        <f t="shared" si="0"/>
        <v>0</v>
      </c>
      <c r="J6" s="76">
        <v>44308</v>
      </c>
      <c r="K6" s="76">
        <v>44293</v>
      </c>
      <c r="L6" s="244">
        <f t="shared" si="1"/>
        <v>15</v>
      </c>
      <c r="M6" s="363"/>
      <c r="N6" s="291">
        <f t="shared" si="2"/>
        <v>0</v>
      </c>
    </row>
    <row r="7" spans="1:14" ht="17.25" customHeight="1" x14ac:dyDescent="0.25">
      <c r="A7" s="494">
        <v>0.65</v>
      </c>
      <c r="B7" s="495" t="s">
        <v>3</v>
      </c>
      <c r="C7" s="496">
        <v>3625.95</v>
      </c>
      <c r="D7" s="497">
        <f t="shared" ref="D7:D69" si="3">ROUND(C7*A7,2)</f>
        <v>2356.87</v>
      </c>
      <c r="E7" s="179"/>
      <c r="F7" s="75">
        <f>ROUND(D7*40%,2)</f>
        <v>942.75</v>
      </c>
      <c r="G7" s="75">
        <v>0</v>
      </c>
      <c r="H7" s="497">
        <f>SUM(C7-F7-G8)</f>
        <v>1269.08</v>
      </c>
      <c r="I7" s="179">
        <f t="shared" si="0"/>
        <v>290.07599999999996</v>
      </c>
      <c r="J7" s="74">
        <v>44305</v>
      </c>
      <c r="K7" s="76">
        <v>44293</v>
      </c>
      <c r="L7" s="244">
        <f t="shared" si="1"/>
        <v>12</v>
      </c>
      <c r="M7" s="363">
        <v>9.1499999999999998E-2</v>
      </c>
      <c r="N7" s="291">
        <f t="shared" si="2"/>
        <v>116.12081999999999</v>
      </c>
    </row>
    <row r="8" spans="1:14" ht="17.25" customHeight="1" x14ac:dyDescent="0.25">
      <c r="A8" s="494"/>
      <c r="B8" s="495"/>
      <c r="C8" s="496"/>
      <c r="D8" s="497"/>
      <c r="E8" s="179"/>
      <c r="F8" s="75">
        <v>0</v>
      </c>
      <c r="G8" s="75">
        <f>D7-F7</f>
        <v>1414.12</v>
      </c>
      <c r="H8" s="497"/>
      <c r="I8" s="179">
        <f t="shared" si="0"/>
        <v>0</v>
      </c>
      <c r="J8" s="74">
        <v>44308</v>
      </c>
      <c r="K8" s="76">
        <v>44293</v>
      </c>
      <c r="L8" s="244">
        <f t="shared" si="1"/>
        <v>15</v>
      </c>
      <c r="M8" s="363"/>
      <c r="N8" s="291">
        <f t="shared" si="2"/>
        <v>0</v>
      </c>
    </row>
    <row r="9" spans="1:14" ht="17.25" customHeight="1" x14ac:dyDescent="0.25">
      <c r="A9" s="494">
        <v>0.65</v>
      </c>
      <c r="B9" s="499" t="s">
        <v>4</v>
      </c>
      <c r="C9" s="496">
        <v>4997.5</v>
      </c>
      <c r="D9" s="497">
        <f t="shared" si="3"/>
        <v>3248.38</v>
      </c>
      <c r="E9" s="179"/>
      <c r="F9" s="75">
        <f>ROUND(D9*40%,2)</f>
        <v>1299.3499999999999</v>
      </c>
      <c r="G9" s="75">
        <v>0</v>
      </c>
      <c r="H9" s="497">
        <f>SUM(C9-F9-G10)</f>
        <v>1749.12</v>
      </c>
      <c r="I9" s="179">
        <f t="shared" si="0"/>
        <v>399.8</v>
      </c>
      <c r="J9" s="76">
        <v>44305</v>
      </c>
      <c r="K9" s="76">
        <v>44293</v>
      </c>
      <c r="L9" s="244">
        <f t="shared" si="1"/>
        <v>12</v>
      </c>
      <c r="M9" s="363">
        <v>9.1499999999999998E-2</v>
      </c>
      <c r="N9" s="291">
        <f t="shared" si="2"/>
        <v>160.04447999999999</v>
      </c>
    </row>
    <row r="10" spans="1:14" ht="17.25" customHeight="1" x14ac:dyDescent="0.25">
      <c r="A10" s="494"/>
      <c r="B10" s="499"/>
      <c r="C10" s="496"/>
      <c r="D10" s="497"/>
      <c r="E10" s="179"/>
      <c r="F10" s="75">
        <v>0</v>
      </c>
      <c r="G10" s="75">
        <f>D9-F9</f>
        <v>1949.0300000000002</v>
      </c>
      <c r="H10" s="497"/>
      <c r="I10" s="179">
        <f t="shared" si="0"/>
        <v>0</v>
      </c>
      <c r="J10" s="76">
        <v>44308</v>
      </c>
      <c r="K10" s="76">
        <v>44293</v>
      </c>
      <c r="L10" s="244">
        <f t="shared" si="1"/>
        <v>15</v>
      </c>
      <c r="M10" s="363"/>
      <c r="N10" s="291">
        <f t="shared" si="2"/>
        <v>0</v>
      </c>
    </row>
    <row r="11" spans="1:14" ht="17.25" customHeight="1" x14ac:dyDescent="0.25">
      <c r="A11" s="494">
        <v>0.65</v>
      </c>
      <c r="B11" s="495" t="s">
        <v>5</v>
      </c>
      <c r="C11" s="496">
        <v>4824.07</v>
      </c>
      <c r="D11" s="497">
        <f t="shared" si="3"/>
        <v>3135.65</v>
      </c>
      <c r="E11" s="179"/>
      <c r="F11" s="75">
        <f>ROUND(D11*40%,2)</f>
        <v>1254.26</v>
      </c>
      <c r="G11" s="75">
        <v>0</v>
      </c>
      <c r="H11" s="497">
        <f>SUM(C11-F11-G12)</f>
        <v>1688.4199999999994</v>
      </c>
      <c r="I11" s="179">
        <f t="shared" si="0"/>
        <v>385.92559999999997</v>
      </c>
      <c r="J11" s="74">
        <v>44305</v>
      </c>
      <c r="K11" s="76">
        <v>44293</v>
      </c>
      <c r="L11" s="244">
        <f t="shared" si="1"/>
        <v>12</v>
      </c>
      <c r="M11" s="363">
        <v>9.1499999999999998E-2</v>
      </c>
      <c r="N11" s="291">
        <f t="shared" si="2"/>
        <v>154.49042999999995</v>
      </c>
    </row>
    <row r="12" spans="1:14" ht="17.25" customHeight="1" x14ac:dyDescent="0.25">
      <c r="A12" s="494"/>
      <c r="B12" s="495"/>
      <c r="C12" s="496"/>
      <c r="D12" s="497"/>
      <c r="E12" s="179"/>
      <c r="F12" s="75">
        <v>0</v>
      </c>
      <c r="G12" s="75">
        <f>D11-F11</f>
        <v>1881.39</v>
      </c>
      <c r="H12" s="497"/>
      <c r="I12" s="179">
        <f t="shared" si="0"/>
        <v>0</v>
      </c>
      <c r="J12" s="74">
        <v>44308</v>
      </c>
      <c r="K12" s="76">
        <v>44293</v>
      </c>
      <c r="L12" s="244">
        <f t="shared" si="1"/>
        <v>15</v>
      </c>
      <c r="M12" s="363"/>
      <c r="N12" s="291">
        <f t="shared" si="2"/>
        <v>0</v>
      </c>
    </row>
    <row r="13" spans="1:14" ht="17.25" customHeight="1" x14ac:dyDescent="0.25">
      <c r="A13" s="494">
        <v>0.65</v>
      </c>
      <c r="B13" s="499" t="s">
        <v>6</v>
      </c>
      <c r="C13" s="496">
        <v>3357.95</v>
      </c>
      <c r="D13" s="497">
        <f t="shared" si="3"/>
        <v>2182.67</v>
      </c>
      <c r="E13" s="179"/>
      <c r="F13" s="75">
        <f>ROUND(D13*40%,2)</f>
        <v>873.07</v>
      </c>
      <c r="G13" s="75">
        <v>0</v>
      </c>
      <c r="H13" s="497">
        <f>SUM(C13-F13-G14)</f>
        <v>1175.2799999999997</v>
      </c>
      <c r="I13" s="179">
        <f t="shared" si="0"/>
        <v>268.63599999999997</v>
      </c>
      <c r="J13" s="76">
        <v>44305</v>
      </c>
      <c r="K13" s="76">
        <v>44293</v>
      </c>
      <c r="L13" s="244">
        <f t="shared" si="1"/>
        <v>12</v>
      </c>
      <c r="M13" s="363">
        <v>9.1499999999999998E-2</v>
      </c>
      <c r="N13" s="291">
        <f t="shared" si="2"/>
        <v>107.53811999999998</v>
      </c>
    </row>
    <row r="14" spans="1:14" ht="17.25" customHeight="1" x14ac:dyDescent="0.25">
      <c r="A14" s="494"/>
      <c r="B14" s="499"/>
      <c r="C14" s="496"/>
      <c r="D14" s="497"/>
      <c r="E14" s="179"/>
      <c r="F14" s="75">
        <v>0</v>
      </c>
      <c r="G14" s="75">
        <f>D13-F13</f>
        <v>1309.5999999999999</v>
      </c>
      <c r="H14" s="497"/>
      <c r="I14" s="179">
        <f t="shared" si="0"/>
        <v>0</v>
      </c>
      <c r="J14" s="76">
        <v>44308</v>
      </c>
      <c r="K14" s="76">
        <v>44293</v>
      </c>
      <c r="L14" s="244">
        <f t="shared" si="1"/>
        <v>15</v>
      </c>
      <c r="M14" s="363"/>
      <c r="N14" s="291">
        <f t="shared" si="2"/>
        <v>0</v>
      </c>
    </row>
    <row r="15" spans="1:14" ht="17.25" customHeight="1" x14ac:dyDescent="0.25">
      <c r="A15" s="292">
        <v>0.65</v>
      </c>
      <c r="B15" s="77" t="s">
        <v>8</v>
      </c>
      <c r="C15" s="72">
        <v>3210.09</v>
      </c>
      <c r="D15" s="179">
        <f t="shared" si="3"/>
        <v>2086.56</v>
      </c>
      <c r="E15" s="179">
        <f>C15*65%</f>
        <v>2086.5585000000001</v>
      </c>
      <c r="F15" s="75">
        <v>0</v>
      </c>
      <c r="G15" s="75">
        <v>0</v>
      </c>
      <c r="H15" s="179">
        <f>C15-D15</f>
        <v>1123.5300000000002</v>
      </c>
      <c r="I15" s="179">
        <f t="shared" si="0"/>
        <v>256.80720000000002</v>
      </c>
      <c r="J15" s="76">
        <v>44308</v>
      </c>
      <c r="K15" s="76">
        <v>44293</v>
      </c>
      <c r="L15" s="244">
        <f t="shared" si="1"/>
        <v>15</v>
      </c>
      <c r="M15" s="363">
        <v>9.1499999999999998E-2</v>
      </c>
      <c r="N15" s="291">
        <f t="shared" si="2"/>
        <v>102.80299500000001</v>
      </c>
    </row>
    <row r="16" spans="1:14" ht="17.25" customHeight="1" x14ac:dyDescent="0.25">
      <c r="A16" s="494">
        <v>0.65</v>
      </c>
      <c r="B16" s="499" t="s">
        <v>9</v>
      </c>
      <c r="C16" s="496">
        <v>3842.33</v>
      </c>
      <c r="D16" s="497">
        <f t="shared" si="3"/>
        <v>2497.5100000000002</v>
      </c>
      <c r="E16" s="179"/>
      <c r="F16" s="75">
        <f>ROUND(D16*40%,2)</f>
        <v>999</v>
      </c>
      <c r="G16" s="75">
        <v>0</v>
      </c>
      <c r="H16" s="497">
        <f>SUM(C16-F16-G17)</f>
        <v>1344.8199999999997</v>
      </c>
      <c r="I16" s="179">
        <f t="shared" si="0"/>
        <v>307.38639999999998</v>
      </c>
      <c r="J16" s="76">
        <v>44305</v>
      </c>
      <c r="K16" s="76">
        <v>44293</v>
      </c>
      <c r="L16" s="244">
        <f t="shared" si="1"/>
        <v>12</v>
      </c>
      <c r="M16" s="363">
        <v>9.1499999999999998E-2</v>
      </c>
      <c r="N16" s="291">
        <f t="shared" si="2"/>
        <v>123.05102999999997</v>
      </c>
    </row>
    <row r="17" spans="1:18" ht="17.25" customHeight="1" x14ac:dyDescent="0.25">
      <c r="A17" s="494"/>
      <c r="B17" s="499"/>
      <c r="C17" s="496"/>
      <c r="D17" s="497"/>
      <c r="E17" s="179"/>
      <c r="F17" s="75">
        <v>0</v>
      </c>
      <c r="G17" s="75">
        <f>D16-F16</f>
        <v>1498.5100000000002</v>
      </c>
      <c r="H17" s="497"/>
      <c r="I17" s="179">
        <f t="shared" si="0"/>
        <v>0</v>
      </c>
      <c r="J17" s="76">
        <v>44308</v>
      </c>
      <c r="K17" s="76">
        <v>44293</v>
      </c>
      <c r="L17" s="244">
        <f t="shared" si="1"/>
        <v>15</v>
      </c>
      <c r="M17" s="363"/>
      <c r="N17" s="291">
        <f t="shared" si="2"/>
        <v>0</v>
      </c>
    </row>
    <row r="18" spans="1:18" ht="17.25" customHeight="1" x14ac:dyDescent="0.25">
      <c r="A18" s="292">
        <v>0.65</v>
      </c>
      <c r="B18" s="77" t="s">
        <v>11</v>
      </c>
      <c r="C18" s="72">
        <v>2764.35</v>
      </c>
      <c r="D18" s="179">
        <f t="shared" si="3"/>
        <v>1796.83</v>
      </c>
      <c r="E18" s="179"/>
      <c r="F18" s="75">
        <v>0</v>
      </c>
      <c r="G18" s="75">
        <v>0</v>
      </c>
      <c r="H18" s="179">
        <v>2764.35</v>
      </c>
      <c r="I18" s="179">
        <f t="shared" si="0"/>
        <v>221.148</v>
      </c>
      <c r="J18" s="76"/>
      <c r="K18" s="76">
        <v>44293</v>
      </c>
      <c r="L18" s="244">
        <f t="shared" si="1"/>
        <v>-44293</v>
      </c>
      <c r="M18" s="363">
        <v>9.1499999999999998E-2</v>
      </c>
      <c r="N18" s="291">
        <f t="shared" si="2"/>
        <v>252.93802499999998</v>
      </c>
    </row>
    <row r="19" spans="1:18" ht="17.25" customHeight="1" x14ac:dyDescent="0.25">
      <c r="A19" s="494">
        <v>0.65</v>
      </c>
      <c r="B19" s="499" t="s">
        <v>12</v>
      </c>
      <c r="C19" s="496">
        <v>1309.07</v>
      </c>
      <c r="D19" s="497">
        <f>ROUND(C19*A19,2)</f>
        <v>850.9</v>
      </c>
      <c r="E19" s="179"/>
      <c r="F19" s="75">
        <f>ROUND(D19*40%,2)</f>
        <v>340.36</v>
      </c>
      <c r="G19" s="75">
        <v>0</v>
      </c>
      <c r="H19" s="497">
        <f>SUM(C19-F19-G20)</f>
        <v>458.16999999999996</v>
      </c>
      <c r="I19" s="179">
        <f t="shared" si="0"/>
        <v>104.7256</v>
      </c>
      <c r="J19" s="76">
        <v>44305</v>
      </c>
      <c r="K19" s="76">
        <v>44293</v>
      </c>
      <c r="L19" s="244">
        <f t="shared" si="1"/>
        <v>12</v>
      </c>
      <c r="M19" s="363">
        <v>9.1499999999999998E-2</v>
      </c>
      <c r="N19" s="291">
        <f t="shared" si="2"/>
        <v>41.922554999999996</v>
      </c>
    </row>
    <row r="20" spans="1:18" ht="17.25" customHeight="1" x14ac:dyDescent="0.25">
      <c r="A20" s="494"/>
      <c r="B20" s="499"/>
      <c r="C20" s="496"/>
      <c r="D20" s="497"/>
      <c r="E20" s="179"/>
      <c r="F20" s="75">
        <v>0</v>
      </c>
      <c r="G20" s="75">
        <f>D19-F19</f>
        <v>510.53999999999996</v>
      </c>
      <c r="H20" s="497"/>
      <c r="I20" s="179">
        <f t="shared" si="0"/>
        <v>0</v>
      </c>
      <c r="J20" s="76">
        <v>44308</v>
      </c>
      <c r="K20" s="76">
        <v>44293</v>
      </c>
      <c r="L20" s="244">
        <f t="shared" si="1"/>
        <v>15</v>
      </c>
      <c r="M20" s="363"/>
      <c r="N20" s="291">
        <f t="shared" si="2"/>
        <v>0</v>
      </c>
    </row>
    <row r="21" spans="1:18" ht="17.25" customHeight="1" x14ac:dyDescent="0.25">
      <c r="A21" s="494">
        <v>0.65</v>
      </c>
      <c r="B21" s="499" t="s">
        <v>13</v>
      </c>
      <c r="C21" s="496">
        <v>1978.9</v>
      </c>
      <c r="D21" s="497">
        <f t="shared" si="3"/>
        <v>1286.29</v>
      </c>
      <c r="E21" s="179"/>
      <c r="F21" s="75">
        <f>ROUND(D21*40%,2)</f>
        <v>514.52</v>
      </c>
      <c r="G21" s="75">
        <v>0</v>
      </c>
      <c r="H21" s="497">
        <f>SUM(C21-F21-G22)</f>
        <v>692.61000000000013</v>
      </c>
      <c r="I21" s="179">
        <f t="shared" si="0"/>
        <v>158.31200000000001</v>
      </c>
      <c r="J21" s="76">
        <v>44305</v>
      </c>
      <c r="K21" s="76">
        <v>44293</v>
      </c>
      <c r="L21" s="244">
        <f t="shared" si="1"/>
        <v>12</v>
      </c>
      <c r="M21" s="363">
        <v>9.1499999999999998E-2</v>
      </c>
      <c r="N21" s="291">
        <f t="shared" si="2"/>
        <v>63.373815000000008</v>
      </c>
    </row>
    <row r="22" spans="1:18" ht="17.25" customHeight="1" x14ac:dyDescent="0.25">
      <c r="A22" s="494"/>
      <c r="B22" s="499"/>
      <c r="C22" s="496"/>
      <c r="D22" s="497"/>
      <c r="E22" s="179"/>
      <c r="F22" s="75">
        <v>0</v>
      </c>
      <c r="G22" s="75">
        <f>D21-F21</f>
        <v>771.77</v>
      </c>
      <c r="H22" s="497"/>
      <c r="I22" s="179">
        <f t="shared" si="0"/>
        <v>0</v>
      </c>
      <c r="J22" s="76">
        <v>44308</v>
      </c>
      <c r="K22" s="76">
        <v>44293</v>
      </c>
      <c r="L22" s="244">
        <f t="shared" si="1"/>
        <v>15</v>
      </c>
      <c r="M22" s="363"/>
      <c r="N22" s="291">
        <f t="shared" si="2"/>
        <v>0</v>
      </c>
    </row>
    <row r="23" spans="1:18" ht="17.25" customHeight="1" x14ac:dyDescent="0.25">
      <c r="A23" s="494">
        <v>0.65</v>
      </c>
      <c r="B23" s="499" t="s">
        <v>104</v>
      </c>
      <c r="C23" s="496">
        <v>1906.97</v>
      </c>
      <c r="D23" s="497">
        <f t="shared" si="3"/>
        <v>1239.53</v>
      </c>
      <c r="E23" s="179"/>
      <c r="F23" s="75">
        <f>ROUND(D23*40%,2)</f>
        <v>495.81</v>
      </c>
      <c r="G23" s="75">
        <v>0</v>
      </c>
      <c r="H23" s="497">
        <f>SUM(C23-F23-G24)</f>
        <v>667.44</v>
      </c>
      <c r="I23" s="179">
        <f t="shared" si="0"/>
        <v>152.55760000000001</v>
      </c>
      <c r="J23" s="76">
        <v>44305</v>
      </c>
      <c r="K23" s="76">
        <v>44293</v>
      </c>
      <c r="L23" s="244">
        <f t="shared" si="1"/>
        <v>12</v>
      </c>
      <c r="M23" s="363">
        <v>9.1499999999999998E-2</v>
      </c>
      <c r="N23" s="291">
        <f t="shared" si="2"/>
        <v>61.070760000000007</v>
      </c>
    </row>
    <row r="24" spans="1:18" ht="17.25" customHeight="1" x14ac:dyDescent="0.25">
      <c r="A24" s="494"/>
      <c r="B24" s="499"/>
      <c r="C24" s="496"/>
      <c r="D24" s="497"/>
      <c r="E24" s="179"/>
      <c r="F24" s="75">
        <v>0</v>
      </c>
      <c r="G24" s="75">
        <f>D23-F23</f>
        <v>743.72</v>
      </c>
      <c r="H24" s="497"/>
      <c r="I24" s="179">
        <f t="shared" si="0"/>
        <v>0</v>
      </c>
      <c r="J24" s="76">
        <v>44308</v>
      </c>
      <c r="K24" s="76">
        <v>44293</v>
      </c>
      <c r="L24" s="244">
        <f t="shared" si="1"/>
        <v>15</v>
      </c>
      <c r="M24" s="363"/>
      <c r="N24" s="291">
        <f t="shared" si="2"/>
        <v>0</v>
      </c>
    </row>
    <row r="25" spans="1:18" ht="17.25" customHeight="1" x14ac:dyDescent="0.25">
      <c r="A25" s="293"/>
      <c r="B25" s="48" t="s">
        <v>156</v>
      </c>
      <c r="C25" s="181" t="e">
        <f>SUM(C23+C21+C19+C18+C16+C15+C13+C11+C9+C7+C5+#REF!)</f>
        <v>#REF!</v>
      </c>
      <c r="D25" s="181"/>
      <c r="E25" s="181">
        <f>SUM(E18+E15)</f>
        <v>2086.5585000000001</v>
      </c>
      <c r="F25" s="181">
        <f>SUM(F5:F24)</f>
        <v>7722.4099999999989</v>
      </c>
      <c r="G25" s="181">
        <f>SUM(G5:G24)</f>
        <v>11583.609999999999</v>
      </c>
      <c r="H25" s="181">
        <f>H5+H7+H9+H11+H13+H15+H16+H18+H19+H21+H23</f>
        <v>14283.400000000001</v>
      </c>
      <c r="I25" s="181">
        <f>SUM(I5:I24)</f>
        <v>2854.0784000000003</v>
      </c>
      <c r="J25" s="182"/>
      <c r="K25" s="182">
        <v>44293</v>
      </c>
      <c r="L25" s="250"/>
      <c r="M25" s="401">
        <v>0</v>
      </c>
      <c r="N25" s="402">
        <f>SUM(N5:N24)</f>
        <v>1306.9311</v>
      </c>
      <c r="R25" s="67"/>
    </row>
    <row r="26" spans="1:18" ht="36" customHeight="1" x14ac:dyDescent="0.25">
      <c r="A26" s="289" t="s">
        <v>143</v>
      </c>
      <c r="B26" s="183" t="s">
        <v>144</v>
      </c>
      <c r="C26" s="175" t="s">
        <v>172</v>
      </c>
      <c r="D26" s="164" t="s">
        <v>145</v>
      </c>
      <c r="E26" s="175" t="s">
        <v>180</v>
      </c>
      <c r="F26" s="175" t="s">
        <v>178</v>
      </c>
      <c r="G26" s="175" t="s">
        <v>179</v>
      </c>
      <c r="H26" s="175" t="s">
        <v>146</v>
      </c>
      <c r="I26" s="179" t="s">
        <v>212</v>
      </c>
      <c r="J26" s="164" t="s">
        <v>147</v>
      </c>
      <c r="K26" s="39" t="s">
        <v>213</v>
      </c>
      <c r="L26" s="39" t="s">
        <v>214</v>
      </c>
      <c r="M26" s="363"/>
      <c r="N26" s="291"/>
    </row>
    <row r="27" spans="1:18" ht="17.25" customHeight="1" x14ac:dyDescent="0.25">
      <c r="A27" s="494">
        <v>0.8</v>
      </c>
      <c r="B27" s="495" t="s">
        <v>19</v>
      </c>
      <c r="C27" s="496">
        <v>3138.56</v>
      </c>
      <c r="D27" s="497">
        <f>ROUND(C27*A27,2)</f>
        <v>2510.85</v>
      </c>
      <c r="E27" s="179">
        <v>0</v>
      </c>
      <c r="F27" s="75">
        <f>ROUND(D27*40%,2)</f>
        <v>1004.34</v>
      </c>
      <c r="G27" s="75">
        <v>0</v>
      </c>
      <c r="H27" s="497">
        <f>SUM(C27-F27-G28)</f>
        <v>627.71</v>
      </c>
      <c r="I27" s="179">
        <f t="shared" si="0"/>
        <v>251.0848</v>
      </c>
      <c r="J27" s="76">
        <v>44305</v>
      </c>
      <c r="K27" s="76">
        <v>44293</v>
      </c>
      <c r="L27" s="244">
        <f t="shared" si="1"/>
        <v>12</v>
      </c>
      <c r="M27" s="363">
        <v>9.1499999999999998E-2</v>
      </c>
      <c r="N27" s="291">
        <f t="shared" ref="N27:N52" si="4">SUM(H27)*M27</f>
        <v>57.435465000000001</v>
      </c>
    </row>
    <row r="28" spans="1:18" ht="17.25" customHeight="1" x14ac:dyDescent="0.25">
      <c r="A28" s="494"/>
      <c r="B28" s="495"/>
      <c r="C28" s="496"/>
      <c r="D28" s="497"/>
      <c r="E28" s="179">
        <v>0</v>
      </c>
      <c r="F28" s="75">
        <v>0</v>
      </c>
      <c r="G28" s="75">
        <f>D27-F27</f>
        <v>1506.5099999999998</v>
      </c>
      <c r="H28" s="497"/>
      <c r="I28" s="179">
        <f t="shared" si="0"/>
        <v>0</v>
      </c>
      <c r="J28" s="76">
        <v>44308</v>
      </c>
      <c r="K28" s="76">
        <v>44293</v>
      </c>
      <c r="L28" s="244">
        <f t="shared" si="1"/>
        <v>15</v>
      </c>
      <c r="M28" s="363"/>
      <c r="N28" s="291">
        <f t="shared" si="4"/>
        <v>0</v>
      </c>
    </row>
    <row r="29" spans="1:18" ht="17.25" customHeight="1" x14ac:dyDescent="0.25">
      <c r="A29" s="292">
        <v>0.8</v>
      </c>
      <c r="B29" s="177" t="s">
        <v>21</v>
      </c>
      <c r="C29" s="72">
        <v>742.34</v>
      </c>
      <c r="D29" s="179">
        <f t="shared" si="3"/>
        <v>593.87</v>
      </c>
      <c r="E29" s="179">
        <f>C29*80%</f>
        <v>593.87200000000007</v>
      </c>
      <c r="F29" s="75">
        <v>0</v>
      </c>
      <c r="G29" s="75">
        <v>0</v>
      </c>
      <c r="H29" s="179">
        <f>C29-D29</f>
        <v>148.47000000000003</v>
      </c>
      <c r="I29" s="179">
        <f t="shared" si="0"/>
        <v>59.387200000000007</v>
      </c>
      <c r="J29" s="74">
        <v>44305</v>
      </c>
      <c r="K29" s="76">
        <v>44293</v>
      </c>
      <c r="L29" s="244">
        <f t="shared" si="1"/>
        <v>12</v>
      </c>
      <c r="M29" s="363">
        <v>9.1499999999999998E-2</v>
      </c>
      <c r="N29" s="291">
        <f t="shared" si="4"/>
        <v>13.585005000000002</v>
      </c>
    </row>
    <row r="30" spans="1:18" ht="17.25" customHeight="1" x14ac:dyDescent="0.25">
      <c r="A30" s="292">
        <v>0.8</v>
      </c>
      <c r="B30" s="177" t="s">
        <v>56</v>
      </c>
      <c r="C30" s="72">
        <v>1213.83</v>
      </c>
      <c r="D30" s="179">
        <f>ROUND(C30*A30,2)</f>
        <v>971.06</v>
      </c>
      <c r="E30" s="179">
        <f>C30*80%</f>
        <v>971.06399999999996</v>
      </c>
      <c r="F30" s="75">
        <v>0</v>
      </c>
      <c r="G30" s="75">
        <v>0</v>
      </c>
      <c r="H30" s="179">
        <f>C30-D30</f>
        <v>242.76999999999998</v>
      </c>
      <c r="I30" s="179">
        <f t="shared" si="0"/>
        <v>97.106399999999994</v>
      </c>
      <c r="J30" s="74">
        <v>44305</v>
      </c>
      <c r="K30" s="76">
        <v>44293</v>
      </c>
      <c r="L30" s="244">
        <f t="shared" si="1"/>
        <v>12</v>
      </c>
      <c r="M30" s="363">
        <v>9.1499999999999998E-2</v>
      </c>
      <c r="N30" s="291">
        <f t="shared" si="4"/>
        <v>22.213454999999996</v>
      </c>
    </row>
    <row r="31" spans="1:18" ht="17.25" customHeight="1" x14ac:dyDescent="0.25">
      <c r="A31" s="494">
        <v>0.8</v>
      </c>
      <c r="B31" s="495" t="s">
        <v>22</v>
      </c>
      <c r="C31" s="496">
        <v>1263</v>
      </c>
      <c r="D31" s="497">
        <f t="shared" si="3"/>
        <v>1010.4</v>
      </c>
      <c r="E31" s="179">
        <v>0</v>
      </c>
      <c r="F31" s="75">
        <f>ROUND(D31*40%,2)</f>
        <v>404.16</v>
      </c>
      <c r="G31" s="75">
        <v>0</v>
      </c>
      <c r="H31" s="497">
        <f>SUM(C31-F31-G32)</f>
        <v>252.59999999999991</v>
      </c>
      <c r="I31" s="179">
        <f t="shared" si="0"/>
        <v>101.04</v>
      </c>
      <c r="J31" s="74">
        <v>44305</v>
      </c>
      <c r="K31" s="76">
        <v>44293</v>
      </c>
      <c r="L31" s="244">
        <f t="shared" si="1"/>
        <v>12</v>
      </c>
      <c r="M31" s="363">
        <v>9.1499999999999998E-2</v>
      </c>
      <c r="N31" s="291">
        <f t="shared" si="4"/>
        <v>23.112899999999993</v>
      </c>
    </row>
    <row r="32" spans="1:18" ht="17.25" customHeight="1" x14ac:dyDescent="0.25">
      <c r="A32" s="494"/>
      <c r="B32" s="495"/>
      <c r="C32" s="496"/>
      <c r="D32" s="497"/>
      <c r="E32" s="179">
        <v>0</v>
      </c>
      <c r="F32" s="75">
        <v>0</v>
      </c>
      <c r="G32" s="75">
        <f>D31-F31</f>
        <v>606.24</v>
      </c>
      <c r="H32" s="497"/>
      <c r="I32" s="179">
        <f t="shared" si="0"/>
        <v>0</v>
      </c>
      <c r="J32" s="74">
        <v>44308</v>
      </c>
      <c r="K32" s="76">
        <v>44293</v>
      </c>
      <c r="L32" s="244">
        <f t="shared" si="1"/>
        <v>15</v>
      </c>
      <c r="M32" s="363"/>
      <c r="N32" s="291">
        <f t="shared" si="4"/>
        <v>0</v>
      </c>
    </row>
    <row r="33" spans="1:14" ht="17.25" customHeight="1" x14ac:dyDescent="0.25">
      <c r="A33" s="494">
        <v>0.8</v>
      </c>
      <c r="B33" s="495" t="s">
        <v>23</v>
      </c>
      <c r="C33" s="496">
        <v>3994.26</v>
      </c>
      <c r="D33" s="497">
        <f t="shared" si="3"/>
        <v>3195.41</v>
      </c>
      <c r="E33" s="179">
        <v>0</v>
      </c>
      <c r="F33" s="75">
        <f>ROUND(D33*40%,2)</f>
        <v>1278.1600000000001</v>
      </c>
      <c r="G33" s="75">
        <v>0</v>
      </c>
      <c r="H33" s="497">
        <f>SUM(C33-F33-G34)</f>
        <v>798.85000000000059</v>
      </c>
      <c r="I33" s="179">
        <f t="shared" si="0"/>
        <v>319.54080000000005</v>
      </c>
      <c r="J33" s="74">
        <v>44305</v>
      </c>
      <c r="K33" s="76">
        <v>44293</v>
      </c>
      <c r="L33" s="244">
        <f t="shared" si="1"/>
        <v>12</v>
      </c>
      <c r="M33" s="363">
        <v>9.1499999999999998E-2</v>
      </c>
      <c r="N33" s="291">
        <f t="shared" si="4"/>
        <v>73.094775000000055</v>
      </c>
    </row>
    <row r="34" spans="1:14" ht="17.25" customHeight="1" x14ac:dyDescent="0.25">
      <c r="A34" s="494"/>
      <c r="B34" s="495"/>
      <c r="C34" s="496"/>
      <c r="D34" s="497"/>
      <c r="E34" s="179">
        <v>0</v>
      </c>
      <c r="F34" s="75">
        <v>0</v>
      </c>
      <c r="G34" s="75">
        <f>D33-F33</f>
        <v>1917.2499999999998</v>
      </c>
      <c r="H34" s="497"/>
      <c r="I34" s="179">
        <f t="shared" si="0"/>
        <v>0</v>
      </c>
      <c r="J34" s="74">
        <v>44308</v>
      </c>
      <c r="K34" s="76">
        <v>44293</v>
      </c>
      <c r="L34" s="244">
        <f t="shared" si="1"/>
        <v>15</v>
      </c>
      <c r="M34" s="363"/>
      <c r="N34" s="291">
        <f t="shared" si="4"/>
        <v>0</v>
      </c>
    </row>
    <row r="35" spans="1:14" s="59" customFormat="1" ht="17.25" customHeight="1" x14ac:dyDescent="0.25">
      <c r="A35" s="292">
        <v>0.8</v>
      </c>
      <c r="B35" s="77" t="s">
        <v>24</v>
      </c>
      <c r="C35" s="72">
        <v>742.12</v>
      </c>
      <c r="D35" s="179">
        <f t="shared" si="3"/>
        <v>593.70000000000005</v>
      </c>
      <c r="E35" s="179">
        <f>C35*80%</f>
        <v>593.69600000000003</v>
      </c>
      <c r="F35" s="75">
        <v>0</v>
      </c>
      <c r="G35" s="75">
        <v>0</v>
      </c>
      <c r="H35" s="179">
        <f>C35-D35</f>
        <v>148.41999999999996</v>
      </c>
      <c r="I35" s="179">
        <f t="shared" si="0"/>
        <v>59.369599999999998</v>
      </c>
      <c r="J35" s="74">
        <v>44305</v>
      </c>
      <c r="K35" s="76">
        <v>44293</v>
      </c>
      <c r="L35" s="244">
        <f t="shared" si="1"/>
        <v>12</v>
      </c>
      <c r="M35" s="363">
        <v>9.1499999999999998E-2</v>
      </c>
      <c r="N35" s="291">
        <f t="shared" si="4"/>
        <v>13.580429999999996</v>
      </c>
    </row>
    <row r="36" spans="1:14" ht="17.25" customHeight="1" x14ac:dyDescent="0.25">
      <c r="A36" s="494">
        <v>0.8</v>
      </c>
      <c r="B36" s="495" t="s">
        <v>25</v>
      </c>
      <c r="C36" s="496">
        <v>6973</v>
      </c>
      <c r="D36" s="497">
        <f>ROUND(C36*A36,2)</f>
        <v>5578.4</v>
      </c>
      <c r="E36" s="179">
        <v>0</v>
      </c>
      <c r="F36" s="75">
        <f>ROUND(D36*40%,2)</f>
        <v>2231.36</v>
      </c>
      <c r="G36" s="75">
        <v>0</v>
      </c>
      <c r="H36" s="497">
        <f>SUM(C36-F36-G37)</f>
        <v>1394.6</v>
      </c>
      <c r="I36" s="179">
        <f t="shared" si="0"/>
        <v>557.84</v>
      </c>
      <c r="J36" s="74">
        <v>44305</v>
      </c>
      <c r="K36" s="76">
        <v>44293</v>
      </c>
      <c r="L36" s="244">
        <f t="shared" si="1"/>
        <v>12</v>
      </c>
      <c r="M36" s="363">
        <v>9.1499999999999998E-2</v>
      </c>
      <c r="N36" s="291">
        <f t="shared" si="4"/>
        <v>127.60589999999999</v>
      </c>
    </row>
    <row r="37" spans="1:14" ht="17.25" customHeight="1" x14ac:dyDescent="0.25">
      <c r="A37" s="494"/>
      <c r="B37" s="495"/>
      <c r="C37" s="496"/>
      <c r="D37" s="497"/>
      <c r="E37" s="179">
        <v>0</v>
      </c>
      <c r="F37" s="75">
        <v>0</v>
      </c>
      <c r="G37" s="75">
        <f>D36-F36</f>
        <v>3347.0399999999995</v>
      </c>
      <c r="H37" s="497"/>
      <c r="I37" s="179">
        <f t="shared" si="0"/>
        <v>0</v>
      </c>
      <c r="J37" s="74">
        <v>44308</v>
      </c>
      <c r="K37" s="76">
        <v>44293</v>
      </c>
      <c r="L37" s="244">
        <f t="shared" si="1"/>
        <v>15</v>
      </c>
      <c r="M37" s="363"/>
      <c r="N37" s="291">
        <f t="shared" si="4"/>
        <v>0</v>
      </c>
    </row>
    <row r="38" spans="1:14" ht="17.25" customHeight="1" x14ac:dyDescent="0.25">
      <c r="A38" s="494">
        <v>0.8</v>
      </c>
      <c r="B38" s="495" t="s">
        <v>60</v>
      </c>
      <c r="C38" s="496">
        <v>1265.83</v>
      </c>
      <c r="D38" s="497">
        <f>ROUND(C38*A38,2)</f>
        <v>1012.66</v>
      </c>
      <c r="E38" s="179">
        <v>0</v>
      </c>
      <c r="F38" s="75">
        <f>ROUND(D38*40%,2)</f>
        <v>405.06</v>
      </c>
      <c r="G38" s="75">
        <v>0</v>
      </c>
      <c r="H38" s="497">
        <f>SUM(C38-F38-G39)</f>
        <v>253.17000000000007</v>
      </c>
      <c r="I38" s="179">
        <f t="shared" si="0"/>
        <v>101.26639999999999</v>
      </c>
      <c r="J38" s="74">
        <v>44305</v>
      </c>
      <c r="K38" s="76">
        <v>44293</v>
      </c>
      <c r="L38" s="244">
        <f t="shared" si="1"/>
        <v>12</v>
      </c>
      <c r="M38" s="363">
        <v>9.1499999999999998E-2</v>
      </c>
      <c r="N38" s="291">
        <f t="shared" si="4"/>
        <v>23.165055000000006</v>
      </c>
    </row>
    <row r="39" spans="1:14" ht="17.25" customHeight="1" x14ac:dyDescent="0.25">
      <c r="A39" s="494"/>
      <c r="B39" s="495"/>
      <c r="C39" s="496"/>
      <c r="D39" s="497"/>
      <c r="E39" s="179">
        <v>0</v>
      </c>
      <c r="F39" s="75">
        <v>0</v>
      </c>
      <c r="G39" s="75">
        <f>D38-F38</f>
        <v>607.59999999999991</v>
      </c>
      <c r="H39" s="497"/>
      <c r="I39" s="179">
        <f t="shared" si="0"/>
        <v>0</v>
      </c>
      <c r="J39" s="74">
        <v>44308</v>
      </c>
      <c r="K39" s="76">
        <v>44293</v>
      </c>
      <c r="L39" s="244">
        <f t="shared" si="1"/>
        <v>15</v>
      </c>
      <c r="M39" s="363"/>
      <c r="N39" s="291">
        <f t="shared" si="4"/>
        <v>0</v>
      </c>
    </row>
    <row r="40" spans="1:14" ht="17.25" customHeight="1" x14ac:dyDescent="0.25">
      <c r="A40" s="292">
        <v>0.8</v>
      </c>
      <c r="B40" s="73" t="s">
        <v>26</v>
      </c>
      <c r="C40" s="72">
        <v>5595.24</v>
      </c>
      <c r="D40" s="179">
        <f t="shared" si="3"/>
        <v>4476.1899999999996</v>
      </c>
      <c r="E40" s="179">
        <f>C40*80%</f>
        <v>4476.192</v>
      </c>
      <c r="F40" s="75">
        <v>0</v>
      </c>
      <c r="G40" s="75">
        <v>0</v>
      </c>
      <c r="H40" s="179">
        <f>C40-D40</f>
        <v>1119.0500000000002</v>
      </c>
      <c r="I40" s="179">
        <f t="shared" si="0"/>
        <v>447.61919999999998</v>
      </c>
      <c r="J40" s="74">
        <v>44308</v>
      </c>
      <c r="K40" s="76">
        <v>44293</v>
      </c>
      <c r="L40" s="244">
        <f t="shared" si="1"/>
        <v>15</v>
      </c>
      <c r="M40" s="363">
        <v>9.1499999999999998E-2</v>
      </c>
      <c r="N40" s="291">
        <f t="shared" si="4"/>
        <v>102.39307500000001</v>
      </c>
    </row>
    <row r="41" spans="1:14" ht="17.25" customHeight="1" x14ac:dyDescent="0.25">
      <c r="A41" s="494">
        <v>0.8</v>
      </c>
      <c r="B41" s="495" t="s">
        <v>27</v>
      </c>
      <c r="C41" s="496">
        <v>4351.84</v>
      </c>
      <c r="D41" s="497">
        <f t="shared" si="3"/>
        <v>3481.47</v>
      </c>
      <c r="E41" s="179">
        <v>0</v>
      </c>
      <c r="F41" s="75">
        <f>ROUND(D41*40%,2)</f>
        <v>1392.59</v>
      </c>
      <c r="G41" s="75">
        <v>0</v>
      </c>
      <c r="H41" s="497">
        <f>SUM(C41-F41-G42)</f>
        <v>870.36999999999989</v>
      </c>
      <c r="I41" s="179">
        <f t="shared" si="0"/>
        <v>348.1472</v>
      </c>
      <c r="J41" s="74">
        <v>44305</v>
      </c>
      <c r="K41" s="76">
        <v>44293</v>
      </c>
      <c r="L41" s="244">
        <f t="shared" si="1"/>
        <v>12</v>
      </c>
      <c r="M41" s="363">
        <v>9.1499999999999998E-2</v>
      </c>
      <c r="N41" s="291">
        <f t="shared" si="4"/>
        <v>79.638854999999992</v>
      </c>
    </row>
    <row r="42" spans="1:14" ht="17.25" customHeight="1" x14ac:dyDescent="0.25">
      <c r="A42" s="494"/>
      <c r="B42" s="495"/>
      <c r="C42" s="496"/>
      <c r="D42" s="497"/>
      <c r="E42" s="179">
        <v>0</v>
      </c>
      <c r="F42" s="75">
        <v>0</v>
      </c>
      <c r="G42" s="75">
        <f>D41-F41</f>
        <v>2088.88</v>
      </c>
      <c r="H42" s="497"/>
      <c r="I42" s="179">
        <f t="shared" si="0"/>
        <v>0</v>
      </c>
      <c r="J42" s="74">
        <v>44308</v>
      </c>
      <c r="K42" s="76">
        <v>44293</v>
      </c>
      <c r="L42" s="244">
        <f t="shared" si="1"/>
        <v>15</v>
      </c>
      <c r="M42" s="363"/>
      <c r="N42" s="291">
        <f t="shared" si="4"/>
        <v>0</v>
      </c>
    </row>
    <row r="43" spans="1:14" ht="17.25" customHeight="1" x14ac:dyDescent="0.25">
      <c r="A43" s="494">
        <v>0.8</v>
      </c>
      <c r="B43" s="495" t="s">
        <v>28</v>
      </c>
      <c r="C43" s="496">
        <v>1394.86</v>
      </c>
      <c r="D43" s="497">
        <f t="shared" si="3"/>
        <v>1115.8900000000001</v>
      </c>
      <c r="E43" s="179">
        <v>0</v>
      </c>
      <c r="F43" s="75">
        <f>ROUND(D43*40%,2)</f>
        <v>446.36</v>
      </c>
      <c r="G43" s="75">
        <v>0</v>
      </c>
      <c r="H43" s="497">
        <f>SUM(C43-F43-G44)</f>
        <v>278.9699999999998</v>
      </c>
      <c r="I43" s="179">
        <f t="shared" si="0"/>
        <v>111.58879999999999</v>
      </c>
      <c r="J43" s="74">
        <v>44305</v>
      </c>
      <c r="K43" s="76">
        <v>44293</v>
      </c>
      <c r="L43" s="244">
        <f t="shared" si="1"/>
        <v>12</v>
      </c>
      <c r="M43" s="363">
        <v>9.1499999999999998E-2</v>
      </c>
      <c r="N43" s="291">
        <f t="shared" si="4"/>
        <v>25.525754999999982</v>
      </c>
    </row>
    <row r="44" spans="1:14" ht="17.25" customHeight="1" x14ac:dyDescent="0.25">
      <c r="A44" s="494"/>
      <c r="B44" s="495"/>
      <c r="C44" s="496"/>
      <c r="D44" s="497"/>
      <c r="E44" s="179">
        <v>0</v>
      </c>
      <c r="F44" s="75">
        <v>0</v>
      </c>
      <c r="G44" s="75">
        <f>D43-F43</f>
        <v>669.53000000000009</v>
      </c>
      <c r="H44" s="497"/>
      <c r="I44" s="179">
        <f t="shared" si="0"/>
        <v>0</v>
      </c>
      <c r="J44" s="74">
        <v>44308</v>
      </c>
      <c r="K44" s="76">
        <v>44293</v>
      </c>
      <c r="L44" s="244">
        <f t="shared" si="1"/>
        <v>15</v>
      </c>
      <c r="M44" s="363"/>
      <c r="N44" s="291">
        <f t="shared" si="4"/>
        <v>0</v>
      </c>
    </row>
    <row r="45" spans="1:14" ht="17.25" customHeight="1" x14ac:dyDescent="0.25">
      <c r="A45" s="494">
        <v>0.8</v>
      </c>
      <c r="B45" s="495" t="s">
        <v>29</v>
      </c>
      <c r="C45" s="496">
        <v>2279.9899999999998</v>
      </c>
      <c r="D45" s="497">
        <f t="shared" si="3"/>
        <v>1823.99</v>
      </c>
      <c r="E45" s="179">
        <v>0</v>
      </c>
      <c r="F45" s="75">
        <f>ROUND(D45*40%,2)</f>
        <v>729.6</v>
      </c>
      <c r="G45" s="75">
        <v>0</v>
      </c>
      <c r="H45" s="497">
        <f>SUM(C45-F45-G46)</f>
        <v>456</v>
      </c>
      <c r="I45" s="179">
        <f t="shared" si="0"/>
        <v>182.39919999999998</v>
      </c>
      <c r="J45" s="74">
        <v>44305</v>
      </c>
      <c r="K45" s="76">
        <v>44293</v>
      </c>
      <c r="L45" s="244">
        <f t="shared" si="1"/>
        <v>12</v>
      </c>
      <c r="M45" s="363">
        <v>9.1499999999999998E-2</v>
      </c>
      <c r="N45" s="291">
        <f t="shared" si="4"/>
        <v>41.723999999999997</v>
      </c>
    </row>
    <row r="46" spans="1:14" ht="17.25" customHeight="1" x14ac:dyDescent="0.25">
      <c r="A46" s="494"/>
      <c r="B46" s="495"/>
      <c r="C46" s="496"/>
      <c r="D46" s="497"/>
      <c r="E46" s="179">
        <v>0</v>
      </c>
      <c r="F46" s="75">
        <v>0</v>
      </c>
      <c r="G46" s="75">
        <f>D45-F45</f>
        <v>1094.3899999999999</v>
      </c>
      <c r="H46" s="497"/>
      <c r="I46" s="179">
        <f t="shared" si="0"/>
        <v>0</v>
      </c>
      <c r="J46" s="74">
        <v>44308</v>
      </c>
      <c r="K46" s="76">
        <v>44293</v>
      </c>
      <c r="L46" s="244">
        <f t="shared" si="1"/>
        <v>15</v>
      </c>
      <c r="M46" s="363"/>
      <c r="N46" s="291">
        <f t="shared" si="4"/>
        <v>0</v>
      </c>
    </row>
    <row r="47" spans="1:14" ht="17.25" customHeight="1" x14ac:dyDescent="0.25">
      <c r="A47" s="494">
        <v>0.8</v>
      </c>
      <c r="B47" s="495" t="s">
        <v>102</v>
      </c>
      <c r="C47" s="496">
        <v>4693.3599999999997</v>
      </c>
      <c r="D47" s="497">
        <f>ROUND(C47*A47,2)</f>
        <v>3754.69</v>
      </c>
      <c r="E47" s="179">
        <v>0</v>
      </c>
      <c r="F47" s="75">
        <f>ROUND(D47*40%,2)</f>
        <v>1501.88</v>
      </c>
      <c r="G47" s="75">
        <v>0</v>
      </c>
      <c r="H47" s="497">
        <f>SUM(C47-F47-G48)</f>
        <v>938.66999999999962</v>
      </c>
      <c r="I47" s="179">
        <f t="shared" si="0"/>
        <v>375.46879999999999</v>
      </c>
      <c r="J47" s="74">
        <v>44305</v>
      </c>
      <c r="K47" s="76">
        <v>44293</v>
      </c>
      <c r="L47" s="244">
        <f t="shared" si="1"/>
        <v>12</v>
      </c>
      <c r="M47" s="363">
        <v>9.1499999999999998E-2</v>
      </c>
      <c r="N47" s="291">
        <f t="shared" si="4"/>
        <v>85.88830499999996</v>
      </c>
    </row>
    <row r="48" spans="1:14" ht="17.25" customHeight="1" x14ac:dyDescent="0.25">
      <c r="A48" s="494"/>
      <c r="B48" s="495"/>
      <c r="C48" s="496"/>
      <c r="D48" s="497"/>
      <c r="E48" s="179">
        <v>0</v>
      </c>
      <c r="F48" s="75">
        <v>0</v>
      </c>
      <c r="G48" s="75">
        <f>D47-F47</f>
        <v>2252.81</v>
      </c>
      <c r="H48" s="497"/>
      <c r="I48" s="179">
        <f t="shared" si="0"/>
        <v>0</v>
      </c>
      <c r="J48" s="74">
        <v>44308</v>
      </c>
      <c r="K48" s="76">
        <v>44293</v>
      </c>
      <c r="L48" s="244">
        <f t="shared" si="1"/>
        <v>15</v>
      </c>
      <c r="M48" s="363"/>
      <c r="N48" s="291">
        <f t="shared" si="4"/>
        <v>0</v>
      </c>
    </row>
    <row r="49" spans="1:20" ht="17.25" customHeight="1" x14ac:dyDescent="0.25">
      <c r="A49" s="494">
        <v>0.8</v>
      </c>
      <c r="B49" s="495" t="s">
        <v>31</v>
      </c>
      <c r="C49" s="496">
        <v>2737.48</v>
      </c>
      <c r="D49" s="497">
        <f t="shared" si="3"/>
        <v>2189.98</v>
      </c>
      <c r="E49" s="179">
        <v>0</v>
      </c>
      <c r="F49" s="75">
        <f>ROUND(D49*40%,2)</f>
        <v>875.99</v>
      </c>
      <c r="G49" s="75">
        <v>0</v>
      </c>
      <c r="H49" s="497">
        <f>SUM(C49-F49-G50)</f>
        <v>547.5</v>
      </c>
      <c r="I49" s="179">
        <f t="shared" si="0"/>
        <v>218.9984</v>
      </c>
      <c r="J49" s="74">
        <v>44305</v>
      </c>
      <c r="K49" s="76">
        <v>44293</v>
      </c>
      <c r="L49" s="244">
        <f t="shared" si="1"/>
        <v>12</v>
      </c>
      <c r="M49" s="363">
        <v>9.1499999999999998E-2</v>
      </c>
      <c r="N49" s="291">
        <f t="shared" si="4"/>
        <v>50.096249999999998</v>
      </c>
    </row>
    <row r="50" spans="1:20" ht="17.25" customHeight="1" x14ac:dyDescent="0.25">
      <c r="A50" s="494"/>
      <c r="B50" s="495"/>
      <c r="C50" s="496"/>
      <c r="D50" s="497"/>
      <c r="E50" s="179">
        <v>0</v>
      </c>
      <c r="F50" s="75">
        <v>0</v>
      </c>
      <c r="G50" s="75">
        <f>D49-F49</f>
        <v>1313.99</v>
      </c>
      <c r="H50" s="497"/>
      <c r="I50" s="179">
        <f t="shared" si="0"/>
        <v>0</v>
      </c>
      <c r="J50" s="74">
        <v>44308</v>
      </c>
      <c r="K50" s="76">
        <v>44293</v>
      </c>
      <c r="L50" s="244">
        <f t="shared" si="1"/>
        <v>15</v>
      </c>
      <c r="M50" s="363"/>
      <c r="N50" s="291">
        <f t="shared" si="4"/>
        <v>0</v>
      </c>
    </row>
    <row r="51" spans="1:20" ht="17.25" customHeight="1" x14ac:dyDescent="0.25">
      <c r="A51" s="494">
        <v>0.8</v>
      </c>
      <c r="B51" s="495" t="s">
        <v>32</v>
      </c>
      <c r="C51" s="496">
        <v>2279.9899999999998</v>
      </c>
      <c r="D51" s="497">
        <f t="shared" si="3"/>
        <v>1823.99</v>
      </c>
      <c r="E51" s="179">
        <v>0</v>
      </c>
      <c r="F51" s="75">
        <f>ROUND(D51*40%,2)</f>
        <v>729.6</v>
      </c>
      <c r="G51" s="75">
        <v>0</v>
      </c>
      <c r="H51" s="497">
        <f>SUM(C51-F51-G52)</f>
        <v>456</v>
      </c>
      <c r="I51" s="179">
        <f t="shared" si="0"/>
        <v>182.39919999999998</v>
      </c>
      <c r="J51" s="74">
        <v>44305</v>
      </c>
      <c r="K51" s="76">
        <v>44293</v>
      </c>
      <c r="L51" s="244">
        <f t="shared" si="1"/>
        <v>12</v>
      </c>
      <c r="M51" s="363">
        <v>9.1499999999999998E-2</v>
      </c>
      <c r="N51" s="291">
        <f t="shared" si="4"/>
        <v>41.723999999999997</v>
      </c>
    </row>
    <row r="52" spans="1:20" ht="17.25" customHeight="1" x14ac:dyDescent="0.25">
      <c r="A52" s="494"/>
      <c r="B52" s="495"/>
      <c r="C52" s="496"/>
      <c r="D52" s="497"/>
      <c r="E52" s="179">
        <v>0</v>
      </c>
      <c r="F52" s="75">
        <v>0</v>
      </c>
      <c r="G52" s="75">
        <f>D51-F51</f>
        <v>1094.3899999999999</v>
      </c>
      <c r="H52" s="497"/>
      <c r="I52" s="179">
        <f t="shared" si="0"/>
        <v>0</v>
      </c>
      <c r="J52" s="74">
        <v>44308</v>
      </c>
      <c r="K52" s="76">
        <v>44293</v>
      </c>
      <c r="L52" s="244">
        <f t="shared" si="1"/>
        <v>15</v>
      </c>
      <c r="M52" s="363"/>
      <c r="N52" s="291">
        <f t="shared" si="4"/>
        <v>0</v>
      </c>
    </row>
    <row r="53" spans="1:20" ht="17.25" customHeight="1" x14ac:dyDescent="0.25">
      <c r="A53" s="292"/>
      <c r="B53" s="48" t="s">
        <v>160</v>
      </c>
      <c r="C53" s="181" t="e">
        <f>SUM(C51+C49+C47+C45+C43+C41+C40+C38+C36+C35+C33+C31+C30+C29+C27+#REF!+#REF!)</f>
        <v>#REF!</v>
      </c>
      <c r="D53" s="181"/>
      <c r="E53" s="181">
        <f>SUM(E27:E52)</f>
        <v>6634.8240000000005</v>
      </c>
      <c r="F53" s="181">
        <f>SUM(F27:F52)</f>
        <v>10999.100000000002</v>
      </c>
      <c r="G53" s="181">
        <f>SUM(G27:G52)</f>
        <v>16498.63</v>
      </c>
      <c r="H53" s="181">
        <f>H27+H29+H30+H31+H33+H35+H36+H38+H40+H41+H43+H45+H47+H49+H51</f>
        <v>8533.1500000000015</v>
      </c>
      <c r="I53" s="230">
        <f>SUM(I27:I52)</f>
        <v>3413.2559999999999</v>
      </c>
      <c r="J53" s="182"/>
      <c r="K53" s="182">
        <v>44293</v>
      </c>
      <c r="L53" s="250">
        <v>0</v>
      </c>
      <c r="M53" s="403"/>
      <c r="N53" s="402">
        <f>SUM(N26:N52)</f>
        <v>780.78322500000002</v>
      </c>
      <c r="T53" s="67"/>
    </row>
    <row r="54" spans="1:20" s="184" customFormat="1" ht="42.75" customHeight="1" x14ac:dyDescent="0.25">
      <c r="A54" s="289" t="s">
        <v>143</v>
      </c>
      <c r="B54" s="183" t="s">
        <v>144</v>
      </c>
      <c r="C54" s="175" t="s">
        <v>172</v>
      </c>
      <c r="D54" s="164" t="s">
        <v>145</v>
      </c>
      <c r="E54" s="175" t="s">
        <v>181</v>
      </c>
      <c r="F54" s="175" t="s">
        <v>178</v>
      </c>
      <c r="G54" s="175" t="s">
        <v>179</v>
      </c>
      <c r="H54" s="175" t="s">
        <v>146</v>
      </c>
      <c r="I54" s="179" t="s">
        <v>212</v>
      </c>
      <c r="J54" s="164" t="s">
        <v>147</v>
      </c>
      <c r="K54" s="39" t="s">
        <v>213</v>
      </c>
      <c r="L54" s="39" t="s">
        <v>214</v>
      </c>
      <c r="M54" s="363"/>
      <c r="N54" s="291"/>
      <c r="T54" s="185"/>
    </row>
    <row r="55" spans="1:20" ht="17.25" customHeight="1" x14ac:dyDescent="0.25">
      <c r="A55" s="494">
        <v>1</v>
      </c>
      <c r="B55" s="495" t="s">
        <v>33</v>
      </c>
      <c r="C55" s="496">
        <v>2106.0100000000002</v>
      </c>
      <c r="D55" s="497">
        <f>ROUND(C55*A55,2)</f>
        <v>2106.0100000000002</v>
      </c>
      <c r="E55" s="179">
        <v>0</v>
      </c>
      <c r="F55" s="75">
        <f>ROUND(D55*40%,2)</f>
        <v>842.4</v>
      </c>
      <c r="G55" s="75">
        <v>0</v>
      </c>
      <c r="H55" s="497">
        <f>C55-F55-G56</f>
        <v>0</v>
      </c>
      <c r="I55" s="179">
        <f t="shared" si="0"/>
        <v>168.48080000000002</v>
      </c>
      <c r="J55" s="74">
        <v>44305</v>
      </c>
      <c r="K55" s="76">
        <v>44293</v>
      </c>
      <c r="L55" s="244">
        <f t="shared" si="1"/>
        <v>12</v>
      </c>
      <c r="M55" s="363">
        <v>9.1499999999999998E-2</v>
      </c>
      <c r="N55" s="291">
        <f t="shared" ref="N55:N84" si="5">SUM(H55)*M55</f>
        <v>0</v>
      </c>
    </row>
    <row r="56" spans="1:20" ht="17.25" customHeight="1" x14ac:dyDescent="0.25">
      <c r="A56" s="494"/>
      <c r="B56" s="495"/>
      <c r="C56" s="496"/>
      <c r="D56" s="497"/>
      <c r="E56" s="179">
        <v>0</v>
      </c>
      <c r="F56" s="75">
        <v>0</v>
      </c>
      <c r="G56" s="75">
        <f>D55-F55</f>
        <v>1263.6100000000001</v>
      </c>
      <c r="H56" s="497"/>
      <c r="I56" s="179">
        <f t="shared" si="0"/>
        <v>0</v>
      </c>
      <c r="J56" s="74">
        <v>44308</v>
      </c>
      <c r="K56" s="76">
        <v>44293</v>
      </c>
      <c r="L56" s="244">
        <f t="shared" si="1"/>
        <v>15</v>
      </c>
      <c r="M56" s="363">
        <v>9.1499999999999998E-2</v>
      </c>
      <c r="N56" s="291">
        <f t="shared" si="5"/>
        <v>0</v>
      </c>
    </row>
    <row r="57" spans="1:20" ht="17.25" customHeight="1" x14ac:dyDescent="0.25">
      <c r="A57" s="494">
        <v>1</v>
      </c>
      <c r="B57" s="495" t="s">
        <v>34</v>
      </c>
      <c r="C57" s="496">
        <v>2780.65</v>
      </c>
      <c r="D57" s="497">
        <f t="shared" si="3"/>
        <v>2780.65</v>
      </c>
      <c r="E57" s="179">
        <v>0</v>
      </c>
      <c r="F57" s="75">
        <f>ROUND(D57*40%,2)</f>
        <v>1112.26</v>
      </c>
      <c r="G57" s="75">
        <v>0</v>
      </c>
      <c r="H57" s="497">
        <f>C57-F57-G58</f>
        <v>0</v>
      </c>
      <c r="I57" s="179">
        <f t="shared" si="0"/>
        <v>222.452</v>
      </c>
      <c r="J57" s="74">
        <v>44305</v>
      </c>
      <c r="K57" s="76">
        <v>44293</v>
      </c>
      <c r="L57" s="244">
        <f t="shared" si="1"/>
        <v>12</v>
      </c>
      <c r="M57" s="363">
        <v>9.1499999999999998E-2</v>
      </c>
      <c r="N57" s="291">
        <f t="shared" si="5"/>
        <v>0</v>
      </c>
    </row>
    <row r="58" spans="1:20" ht="17.25" customHeight="1" x14ac:dyDescent="0.25">
      <c r="A58" s="494"/>
      <c r="B58" s="495"/>
      <c r="C58" s="496"/>
      <c r="D58" s="497"/>
      <c r="E58" s="179">
        <v>0</v>
      </c>
      <c r="F58" s="75">
        <v>0</v>
      </c>
      <c r="G58" s="75">
        <f>D57-F57</f>
        <v>1668.39</v>
      </c>
      <c r="H58" s="497"/>
      <c r="I58" s="179">
        <f t="shared" si="0"/>
        <v>0</v>
      </c>
      <c r="J58" s="74">
        <v>44308</v>
      </c>
      <c r="K58" s="76">
        <v>44293</v>
      </c>
      <c r="L58" s="244">
        <f t="shared" si="1"/>
        <v>15</v>
      </c>
      <c r="M58" s="363">
        <v>9.1499999999999998E-2</v>
      </c>
      <c r="N58" s="291">
        <f t="shared" si="5"/>
        <v>0</v>
      </c>
    </row>
    <row r="59" spans="1:20" ht="17.25" customHeight="1" x14ac:dyDescent="0.25">
      <c r="A59" s="292">
        <v>1</v>
      </c>
      <c r="B59" s="77" t="s">
        <v>16</v>
      </c>
      <c r="C59" s="72">
        <v>0.72</v>
      </c>
      <c r="D59" s="179">
        <f t="shared" ref="D59" si="6">ROUND(C59*A59,2)</f>
        <v>0.72</v>
      </c>
      <c r="E59" s="179">
        <f>C59*100%</f>
        <v>0.72</v>
      </c>
      <c r="F59" s="75">
        <v>0</v>
      </c>
      <c r="G59" s="75">
        <v>0</v>
      </c>
      <c r="H59" s="179">
        <f t="shared" ref="H59" si="7">C59-D59</f>
        <v>0</v>
      </c>
      <c r="I59" s="179">
        <f t="shared" si="0"/>
        <v>5.7599999999999998E-2</v>
      </c>
      <c r="J59" s="76">
        <v>44299</v>
      </c>
      <c r="K59" s="76">
        <v>44293</v>
      </c>
      <c r="L59" s="244">
        <f t="shared" si="1"/>
        <v>6</v>
      </c>
      <c r="M59" s="363">
        <v>9.1499999999999998E-2</v>
      </c>
      <c r="N59" s="291">
        <f t="shared" si="5"/>
        <v>0</v>
      </c>
    </row>
    <row r="60" spans="1:20" ht="17.25" customHeight="1" x14ac:dyDescent="0.25">
      <c r="A60" s="292">
        <v>1</v>
      </c>
      <c r="B60" s="73" t="s">
        <v>35</v>
      </c>
      <c r="C60" s="72">
        <v>189.3</v>
      </c>
      <c r="D60" s="179">
        <f t="shared" si="3"/>
        <v>189.3</v>
      </c>
      <c r="E60" s="179">
        <f>C60*100%</f>
        <v>189.3</v>
      </c>
      <c r="F60" s="75">
        <v>0</v>
      </c>
      <c r="G60" s="75">
        <v>0</v>
      </c>
      <c r="H60" s="179">
        <f t="shared" ref="H60:H90" si="8">C60-D60</f>
        <v>0</v>
      </c>
      <c r="I60" s="179">
        <f t="shared" si="0"/>
        <v>15.144000000000002</v>
      </c>
      <c r="J60" s="74">
        <v>44305</v>
      </c>
      <c r="K60" s="76">
        <v>44293</v>
      </c>
      <c r="L60" s="244">
        <f t="shared" si="1"/>
        <v>12</v>
      </c>
      <c r="M60" s="363">
        <v>9.1499999999999998E-2</v>
      </c>
      <c r="N60" s="291">
        <f t="shared" si="5"/>
        <v>0</v>
      </c>
    </row>
    <row r="61" spans="1:20" ht="17.25" customHeight="1" x14ac:dyDescent="0.25">
      <c r="A61" s="494">
        <v>1</v>
      </c>
      <c r="B61" s="495" t="s">
        <v>37</v>
      </c>
      <c r="C61" s="496">
        <v>1533.01</v>
      </c>
      <c r="D61" s="497">
        <f t="shared" si="3"/>
        <v>1533.01</v>
      </c>
      <c r="E61" s="179">
        <v>0</v>
      </c>
      <c r="F61" s="75">
        <f>ROUND(D61*40%,2)</f>
        <v>613.20000000000005</v>
      </c>
      <c r="G61" s="75">
        <v>0</v>
      </c>
      <c r="H61" s="497">
        <f>C61-F61-G62</f>
        <v>0</v>
      </c>
      <c r="I61" s="179">
        <f t="shared" si="0"/>
        <v>122.6408</v>
      </c>
      <c r="J61" s="74">
        <v>44305</v>
      </c>
      <c r="K61" s="76">
        <v>44293</v>
      </c>
      <c r="L61" s="244">
        <f t="shared" si="1"/>
        <v>12</v>
      </c>
      <c r="M61" s="363">
        <v>9.1499999999999998E-2</v>
      </c>
      <c r="N61" s="291">
        <f t="shared" si="5"/>
        <v>0</v>
      </c>
    </row>
    <row r="62" spans="1:20" ht="17.25" customHeight="1" x14ac:dyDescent="0.25">
      <c r="A62" s="494"/>
      <c r="B62" s="495"/>
      <c r="C62" s="496"/>
      <c r="D62" s="497"/>
      <c r="E62" s="179">
        <v>0</v>
      </c>
      <c r="F62" s="75">
        <v>0</v>
      </c>
      <c r="G62" s="75">
        <f>D61-F61</f>
        <v>919.81</v>
      </c>
      <c r="H62" s="497"/>
      <c r="I62" s="179">
        <f t="shared" si="0"/>
        <v>0</v>
      </c>
      <c r="J62" s="74">
        <v>44308</v>
      </c>
      <c r="K62" s="76">
        <v>44293</v>
      </c>
      <c r="L62" s="244">
        <f t="shared" si="1"/>
        <v>15</v>
      </c>
      <c r="M62" s="363">
        <v>9.1499999999999998E-2</v>
      </c>
      <c r="N62" s="291">
        <f t="shared" si="5"/>
        <v>0</v>
      </c>
    </row>
    <row r="63" spans="1:20" ht="17.25" customHeight="1" x14ac:dyDescent="0.25">
      <c r="A63" s="292">
        <v>1</v>
      </c>
      <c r="B63" s="73" t="s">
        <v>105</v>
      </c>
      <c r="C63" s="72">
        <v>954.49</v>
      </c>
      <c r="D63" s="179">
        <f t="shared" si="3"/>
        <v>954.49</v>
      </c>
      <c r="E63" s="179">
        <f>C63*100%</f>
        <v>954.49</v>
      </c>
      <c r="F63" s="75">
        <v>0</v>
      </c>
      <c r="G63" s="75">
        <v>0</v>
      </c>
      <c r="H63" s="179">
        <f t="shared" si="8"/>
        <v>0</v>
      </c>
      <c r="I63" s="179">
        <f t="shared" si="0"/>
        <v>76.359200000000001</v>
      </c>
      <c r="J63" s="74">
        <v>44305</v>
      </c>
      <c r="K63" s="76">
        <v>44293</v>
      </c>
      <c r="L63" s="244">
        <f t="shared" si="1"/>
        <v>12</v>
      </c>
      <c r="M63" s="363">
        <v>9.1499999999999998E-2</v>
      </c>
      <c r="N63" s="291">
        <f t="shared" si="5"/>
        <v>0</v>
      </c>
    </row>
    <row r="64" spans="1:20" ht="17.25" customHeight="1" x14ac:dyDescent="0.25">
      <c r="A64" s="494">
        <v>1</v>
      </c>
      <c r="B64" s="495" t="s">
        <v>38</v>
      </c>
      <c r="C64" s="496">
        <v>2593.0700000000002</v>
      </c>
      <c r="D64" s="497">
        <f t="shared" si="3"/>
        <v>2593.0700000000002</v>
      </c>
      <c r="E64" s="179">
        <v>0</v>
      </c>
      <c r="F64" s="75">
        <f>ROUND(D64*40%,2)</f>
        <v>1037.23</v>
      </c>
      <c r="G64" s="75">
        <v>0</v>
      </c>
      <c r="H64" s="497">
        <f t="shared" si="8"/>
        <v>0</v>
      </c>
      <c r="I64" s="179">
        <f t="shared" ref="I64:I122" si="9">C64*8%</f>
        <v>207.44560000000001</v>
      </c>
      <c r="J64" s="74">
        <v>44305</v>
      </c>
      <c r="K64" s="76">
        <v>44293</v>
      </c>
      <c r="L64" s="244">
        <f t="shared" ref="L64:L122" si="10">J64-K64</f>
        <v>12</v>
      </c>
      <c r="M64" s="363">
        <v>9.1499999999999998E-2</v>
      </c>
      <c r="N64" s="291">
        <f t="shared" si="5"/>
        <v>0</v>
      </c>
    </row>
    <row r="65" spans="1:14" ht="17.25" customHeight="1" x14ac:dyDescent="0.25">
      <c r="A65" s="494"/>
      <c r="B65" s="495"/>
      <c r="C65" s="496"/>
      <c r="D65" s="497"/>
      <c r="E65" s="179">
        <v>0</v>
      </c>
      <c r="F65" s="75">
        <v>0</v>
      </c>
      <c r="G65" s="75">
        <f>D64-F64</f>
        <v>1555.8400000000001</v>
      </c>
      <c r="H65" s="497"/>
      <c r="I65" s="179">
        <f t="shared" si="9"/>
        <v>0</v>
      </c>
      <c r="J65" s="74">
        <v>44308</v>
      </c>
      <c r="K65" s="76">
        <v>44293</v>
      </c>
      <c r="L65" s="244">
        <f t="shared" si="10"/>
        <v>15</v>
      </c>
      <c r="M65" s="363">
        <v>9.1499999999999998E-2</v>
      </c>
      <c r="N65" s="291">
        <f t="shared" si="5"/>
        <v>0</v>
      </c>
    </row>
    <row r="66" spans="1:14" ht="17.25" customHeight="1" x14ac:dyDescent="0.25">
      <c r="A66" s="292">
        <v>1</v>
      </c>
      <c r="B66" s="73" t="s">
        <v>20</v>
      </c>
      <c r="C66" s="72">
        <v>1.71</v>
      </c>
      <c r="D66" s="179">
        <f>ROUND(C66*A66,2)</f>
        <v>1.71</v>
      </c>
      <c r="E66" s="179">
        <f>C66*100%</f>
        <v>1.71</v>
      </c>
      <c r="F66" s="75">
        <v>0</v>
      </c>
      <c r="G66" s="75">
        <v>0</v>
      </c>
      <c r="H66" s="179">
        <f>C66-D66</f>
        <v>0</v>
      </c>
      <c r="I66" s="179">
        <f t="shared" si="9"/>
        <v>0.1368</v>
      </c>
      <c r="J66" s="74">
        <v>44299</v>
      </c>
      <c r="K66" s="76">
        <v>44293</v>
      </c>
      <c r="L66" s="244">
        <f t="shared" si="10"/>
        <v>6</v>
      </c>
      <c r="M66" s="363">
        <v>9.1499999999999998E-2</v>
      </c>
      <c r="N66" s="291">
        <f t="shared" si="5"/>
        <v>0</v>
      </c>
    </row>
    <row r="67" spans="1:14" ht="17.25" customHeight="1" x14ac:dyDescent="0.25">
      <c r="A67" s="292">
        <v>1</v>
      </c>
      <c r="B67" s="73" t="s">
        <v>39</v>
      </c>
      <c r="C67" s="72">
        <v>6.01</v>
      </c>
      <c r="D67" s="179">
        <f t="shared" si="3"/>
        <v>6.01</v>
      </c>
      <c r="E67" s="179">
        <f>C67*100%</f>
        <v>6.01</v>
      </c>
      <c r="F67" s="75">
        <v>0</v>
      </c>
      <c r="G67" s="75">
        <v>0</v>
      </c>
      <c r="H67" s="179">
        <f t="shared" si="8"/>
        <v>0</v>
      </c>
      <c r="I67" s="179">
        <f t="shared" si="9"/>
        <v>0.48080000000000001</v>
      </c>
      <c r="J67" s="74">
        <v>44299</v>
      </c>
      <c r="K67" s="76">
        <v>44293</v>
      </c>
      <c r="L67" s="244">
        <f t="shared" si="10"/>
        <v>6</v>
      </c>
      <c r="M67" s="363">
        <v>9.1499999999999998E-2</v>
      </c>
      <c r="N67" s="291">
        <f t="shared" si="5"/>
        <v>0</v>
      </c>
    </row>
    <row r="68" spans="1:14" ht="17.25" customHeight="1" x14ac:dyDescent="0.25">
      <c r="A68" s="292">
        <v>1</v>
      </c>
      <c r="B68" s="73" t="s">
        <v>40</v>
      </c>
      <c r="C68" s="72">
        <v>9.76</v>
      </c>
      <c r="D68" s="179">
        <f t="shared" si="3"/>
        <v>9.76</v>
      </c>
      <c r="E68" s="179">
        <f>C68*100%</f>
        <v>9.76</v>
      </c>
      <c r="F68" s="75">
        <v>0</v>
      </c>
      <c r="G68" s="75">
        <v>0</v>
      </c>
      <c r="H68" s="179">
        <f t="shared" si="8"/>
        <v>0</v>
      </c>
      <c r="I68" s="179">
        <f t="shared" si="9"/>
        <v>0.78080000000000005</v>
      </c>
      <c r="J68" s="74">
        <v>44299</v>
      </c>
      <c r="K68" s="76">
        <v>44293</v>
      </c>
      <c r="L68" s="244">
        <f t="shared" si="10"/>
        <v>6</v>
      </c>
      <c r="M68" s="363">
        <v>9.1499999999999998E-2</v>
      </c>
      <c r="N68" s="291">
        <f t="shared" si="5"/>
        <v>0</v>
      </c>
    </row>
    <row r="69" spans="1:14" ht="17.25" customHeight="1" x14ac:dyDescent="0.25">
      <c r="A69" s="494">
        <v>1</v>
      </c>
      <c r="B69" s="495" t="s">
        <v>41</v>
      </c>
      <c r="C69" s="496">
        <v>1031.99</v>
      </c>
      <c r="D69" s="497">
        <f t="shared" si="3"/>
        <v>1031.99</v>
      </c>
      <c r="E69" s="179">
        <v>0</v>
      </c>
      <c r="F69" s="75">
        <f>ROUND(D69*40%,2)</f>
        <v>412.8</v>
      </c>
      <c r="G69" s="75">
        <v>0</v>
      </c>
      <c r="H69" s="497">
        <f t="shared" si="8"/>
        <v>0</v>
      </c>
      <c r="I69" s="179">
        <f t="shared" si="9"/>
        <v>82.559200000000004</v>
      </c>
      <c r="J69" s="74">
        <v>44305</v>
      </c>
      <c r="K69" s="76">
        <v>44293</v>
      </c>
      <c r="L69" s="244">
        <f t="shared" si="10"/>
        <v>12</v>
      </c>
      <c r="M69" s="363">
        <v>9.1499999999999998E-2</v>
      </c>
      <c r="N69" s="291">
        <f t="shared" si="5"/>
        <v>0</v>
      </c>
    </row>
    <row r="70" spans="1:14" ht="17.25" customHeight="1" x14ac:dyDescent="0.25">
      <c r="A70" s="494"/>
      <c r="B70" s="495"/>
      <c r="C70" s="496"/>
      <c r="D70" s="497"/>
      <c r="E70" s="179">
        <v>0</v>
      </c>
      <c r="F70" s="75">
        <v>0</v>
      </c>
      <c r="G70" s="75">
        <f>D69-F69</f>
        <v>619.19000000000005</v>
      </c>
      <c r="H70" s="497"/>
      <c r="I70" s="179">
        <f t="shared" si="9"/>
        <v>0</v>
      </c>
      <c r="J70" s="74">
        <v>44308</v>
      </c>
      <c r="K70" s="76">
        <v>44293</v>
      </c>
      <c r="L70" s="244">
        <f t="shared" si="10"/>
        <v>15</v>
      </c>
      <c r="M70" s="363">
        <v>9.1499999999999998E-2</v>
      </c>
      <c r="N70" s="291">
        <f t="shared" si="5"/>
        <v>0</v>
      </c>
    </row>
    <row r="71" spans="1:14" ht="17.25" customHeight="1" x14ac:dyDescent="0.25">
      <c r="A71" s="494">
        <v>1</v>
      </c>
      <c r="B71" s="495" t="s">
        <v>42</v>
      </c>
      <c r="C71" s="496">
        <v>1532.97</v>
      </c>
      <c r="D71" s="497">
        <f t="shared" ref="D71:D105" si="11">ROUND(C71*A71,2)</f>
        <v>1532.97</v>
      </c>
      <c r="E71" s="179">
        <v>0</v>
      </c>
      <c r="F71" s="75">
        <f>ROUND(D71*40%,2)</f>
        <v>613.19000000000005</v>
      </c>
      <c r="G71" s="75">
        <v>0</v>
      </c>
      <c r="H71" s="497">
        <f t="shared" si="8"/>
        <v>0</v>
      </c>
      <c r="I71" s="179">
        <f t="shared" si="9"/>
        <v>122.63760000000001</v>
      </c>
      <c r="J71" s="74">
        <v>44305</v>
      </c>
      <c r="K71" s="76">
        <v>44293</v>
      </c>
      <c r="L71" s="244">
        <f t="shared" si="10"/>
        <v>12</v>
      </c>
      <c r="M71" s="363">
        <v>9.1499999999999998E-2</v>
      </c>
      <c r="N71" s="291">
        <f t="shared" si="5"/>
        <v>0</v>
      </c>
    </row>
    <row r="72" spans="1:14" ht="17.25" customHeight="1" x14ac:dyDescent="0.25">
      <c r="A72" s="494"/>
      <c r="B72" s="495"/>
      <c r="C72" s="496"/>
      <c r="D72" s="497"/>
      <c r="E72" s="179">
        <v>0</v>
      </c>
      <c r="F72" s="75">
        <v>0</v>
      </c>
      <c r="G72" s="75">
        <f>D71-F71</f>
        <v>919.78</v>
      </c>
      <c r="H72" s="497"/>
      <c r="I72" s="179">
        <f t="shared" si="9"/>
        <v>0</v>
      </c>
      <c r="J72" s="74">
        <v>44308</v>
      </c>
      <c r="K72" s="76">
        <v>44293</v>
      </c>
      <c r="L72" s="244">
        <f t="shared" si="10"/>
        <v>15</v>
      </c>
      <c r="M72" s="363">
        <v>9.1499999999999998E-2</v>
      </c>
      <c r="N72" s="291">
        <f t="shared" si="5"/>
        <v>0</v>
      </c>
    </row>
    <row r="73" spans="1:14" ht="17.25" customHeight="1" x14ac:dyDescent="0.25">
      <c r="A73" s="292">
        <v>1</v>
      </c>
      <c r="B73" s="73" t="s">
        <v>43</v>
      </c>
      <c r="C73" s="72">
        <v>102.54</v>
      </c>
      <c r="D73" s="179">
        <f t="shared" si="11"/>
        <v>102.54</v>
      </c>
      <c r="E73" s="179">
        <f t="shared" ref="E73:E78" si="12">C73*100%</f>
        <v>102.54</v>
      </c>
      <c r="F73" s="75">
        <v>0</v>
      </c>
      <c r="G73" s="75">
        <v>0</v>
      </c>
      <c r="H73" s="179">
        <f t="shared" si="8"/>
        <v>0</v>
      </c>
      <c r="I73" s="179">
        <f t="shared" si="9"/>
        <v>8.2032000000000007</v>
      </c>
      <c r="J73" s="74">
        <v>44294</v>
      </c>
      <c r="K73" s="76">
        <v>44293</v>
      </c>
      <c r="L73" s="244">
        <f t="shared" si="10"/>
        <v>1</v>
      </c>
      <c r="M73" s="363">
        <v>9.1499999999999998E-2</v>
      </c>
      <c r="N73" s="291">
        <f t="shared" si="5"/>
        <v>0</v>
      </c>
    </row>
    <row r="74" spans="1:14" ht="17.25" customHeight="1" x14ac:dyDescent="0.25">
      <c r="A74" s="292">
        <v>1</v>
      </c>
      <c r="B74" s="73" t="s">
        <v>44</v>
      </c>
      <c r="C74" s="72">
        <v>5.63</v>
      </c>
      <c r="D74" s="179">
        <f>ROUND(C74*A74,2)</f>
        <v>5.63</v>
      </c>
      <c r="E74" s="179">
        <f t="shared" si="12"/>
        <v>5.63</v>
      </c>
      <c r="F74" s="75">
        <v>0</v>
      </c>
      <c r="G74" s="75">
        <v>0</v>
      </c>
      <c r="H74" s="179">
        <f>C74-D74</f>
        <v>0</v>
      </c>
      <c r="I74" s="179">
        <f t="shared" si="9"/>
        <v>0.45040000000000002</v>
      </c>
      <c r="J74" s="74">
        <v>44299</v>
      </c>
      <c r="K74" s="76">
        <v>44293</v>
      </c>
      <c r="L74" s="244">
        <f t="shared" si="10"/>
        <v>6</v>
      </c>
      <c r="M74" s="363">
        <v>9.1499999999999998E-2</v>
      </c>
      <c r="N74" s="291">
        <f t="shared" si="5"/>
        <v>0</v>
      </c>
    </row>
    <row r="75" spans="1:14" ht="17.25" customHeight="1" x14ac:dyDescent="0.25">
      <c r="A75" s="292">
        <v>1</v>
      </c>
      <c r="B75" s="73" t="s">
        <v>46</v>
      </c>
      <c r="C75" s="72">
        <v>5.28</v>
      </c>
      <c r="D75" s="179">
        <f t="shared" si="11"/>
        <v>5.28</v>
      </c>
      <c r="E75" s="179">
        <f t="shared" si="12"/>
        <v>5.28</v>
      </c>
      <c r="F75" s="75">
        <v>0</v>
      </c>
      <c r="G75" s="75">
        <v>0</v>
      </c>
      <c r="H75" s="179">
        <f t="shared" si="8"/>
        <v>0</v>
      </c>
      <c r="I75" s="179">
        <f t="shared" si="9"/>
        <v>0.42240000000000005</v>
      </c>
      <c r="J75" s="74">
        <v>44299</v>
      </c>
      <c r="K75" s="76">
        <v>44293</v>
      </c>
      <c r="L75" s="244">
        <f t="shared" si="10"/>
        <v>6</v>
      </c>
      <c r="M75" s="363">
        <v>9.1499999999999998E-2</v>
      </c>
      <c r="N75" s="291">
        <f t="shared" si="5"/>
        <v>0</v>
      </c>
    </row>
    <row r="76" spans="1:14" ht="17.25" customHeight="1" x14ac:dyDescent="0.25">
      <c r="A76" s="292">
        <v>1</v>
      </c>
      <c r="B76" s="73" t="s">
        <v>47</v>
      </c>
      <c r="C76" s="72">
        <v>6.63</v>
      </c>
      <c r="D76" s="179">
        <f t="shared" si="11"/>
        <v>6.63</v>
      </c>
      <c r="E76" s="179">
        <f t="shared" si="12"/>
        <v>6.63</v>
      </c>
      <c r="F76" s="75">
        <v>0</v>
      </c>
      <c r="G76" s="75">
        <v>0</v>
      </c>
      <c r="H76" s="179">
        <f t="shared" si="8"/>
        <v>0</v>
      </c>
      <c r="I76" s="179">
        <f t="shared" si="9"/>
        <v>0.53039999999999998</v>
      </c>
      <c r="J76" s="76">
        <v>44299</v>
      </c>
      <c r="K76" s="76">
        <v>44293</v>
      </c>
      <c r="L76" s="244">
        <f t="shared" si="10"/>
        <v>6</v>
      </c>
      <c r="M76" s="363">
        <v>9.1499999999999998E-2</v>
      </c>
      <c r="N76" s="291">
        <f t="shared" si="5"/>
        <v>0</v>
      </c>
    </row>
    <row r="77" spans="1:14" ht="17.25" customHeight="1" x14ac:dyDescent="0.25">
      <c r="A77" s="292">
        <v>1</v>
      </c>
      <c r="B77" s="77" t="s">
        <v>2</v>
      </c>
      <c r="C77" s="72">
        <v>7.14</v>
      </c>
      <c r="D77" s="179">
        <f>ROUND(C77*A77,2)</f>
        <v>7.14</v>
      </c>
      <c r="E77" s="179">
        <f t="shared" si="12"/>
        <v>7.14</v>
      </c>
      <c r="F77" s="75">
        <v>0</v>
      </c>
      <c r="G77" s="75">
        <v>0</v>
      </c>
      <c r="H77" s="179">
        <f>C77-D77</f>
        <v>0</v>
      </c>
      <c r="I77" s="179">
        <f t="shared" si="9"/>
        <v>0.57120000000000004</v>
      </c>
      <c r="J77" s="76">
        <v>44299</v>
      </c>
      <c r="K77" s="76">
        <v>44293</v>
      </c>
      <c r="L77" s="244">
        <f t="shared" si="10"/>
        <v>6</v>
      </c>
      <c r="M77" s="363">
        <v>9.1499999999999998E-2</v>
      </c>
      <c r="N77" s="291">
        <f t="shared" si="5"/>
        <v>0</v>
      </c>
    </row>
    <row r="78" spans="1:14" ht="17.25" customHeight="1" x14ac:dyDescent="0.25">
      <c r="A78" s="292">
        <v>1</v>
      </c>
      <c r="B78" s="73" t="s">
        <v>48</v>
      </c>
      <c r="C78" s="72">
        <v>5.28</v>
      </c>
      <c r="D78" s="179">
        <f t="shared" si="11"/>
        <v>5.28</v>
      </c>
      <c r="E78" s="179">
        <f t="shared" si="12"/>
        <v>5.28</v>
      </c>
      <c r="F78" s="75">
        <v>0</v>
      </c>
      <c r="G78" s="75">
        <v>0</v>
      </c>
      <c r="H78" s="179">
        <f t="shared" si="8"/>
        <v>0</v>
      </c>
      <c r="I78" s="179">
        <f t="shared" si="9"/>
        <v>0.42240000000000005</v>
      </c>
      <c r="J78" s="74">
        <v>44295</v>
      </c>
      <c r="K78" s="76">
        <v>44293</v>
      </c>
      <c r="L78" s="244">
        <f t="shared" si="10"/>
        <v>2</v>
      </c>
      <c r="M78" s="363">
        <v>9.1499999999999998E-2</v>
      </c>
      <c r="N78" s="291">
        <f t="shared" si="5"/>
        <v>0</v>
      </c>
    </row>
    <row r="79" spans="1:14" ht="17.25" customHeight="1" x14ac:dyDescent="0.25">
      <c r="A79" s="494">
        <v>1</v>
      </c>
      <c r="B79" s="495" t="s">
        <v>50</v>
      </c>
      <c r="C79" s="496">
        <v>1529.21</v>
      </c>
      <c r="D79" s="497">
        <f t="shared" si="11"/>
        <v>1529.21</v>
      </c>
      <c r="E79" s="179">
        <v>0</v>
      </c>
      <c r="F79" s="75">
        <f>ROUND(D79*40%,2)</f>
        <v>611.67999999999995</v>
      </c>
      <c r="G79" s="75">
        <v>0</v>
      </c>
      <c r="H79" s="497">
        <f t="shared" si="8"/>
        <v>0</v>
      </c>
      <c r="I79" s="179">
        <f t="shared" si="9"/>
        <v>122.33680000000001</v>
      </c>
      <c r="J79" s="74">
        <v>44305</v>
      </c>
      <c r="K79" s="76">
        <v>44293</v>
      </c>
      <c r="L79" s="244">
        <f t="shared" si="10"/>
        <v>12</v>
      </c>
      <c r="M79" s="363">
        <v>9.1499999999999998E-2</v>
      </c>
      <c r="N79" s="291">
        <f t="shared" si="5"/>
        <v>0</v>
      </c>
    </row>
    <row r="80" spans="1:14" ht="17.25" customHeight="1" x14ac:dyDescent="0.25">
      <c r="A80" s="494"/>
      <c r="B80" s="495"/>
      <c r="C80" s="496"/>
      <c r="D80" s="497"/>
      <c r="E80" s="179">
        <v>0</v>
      </c>
      <c r="F80" s="75">
        <v>0</v>
      </c>
      <c r="G80" s="75">
        <f>D79-F79</f>
        <v>917.53000000000009</v>
      </c>
      <c r="H80" s="497"/>
      <c r="I80" s="179">
        <f t="shared" si="9"/>
        <v>0</v>
      </c>
      <c r="J80" s="74">
        <v>44308</v>
      </c>
      <c r="K80" s="76">
        <v>44293</v>
      </c>
      <c r="L80" s="244">
        <f t="shared" si="10"/>
        <v>15</v>
      </c>
      <c r="M80" s="363">
        <v>9.1499999999999998E-2</v>
      </c>
      <c r="N80" s="291">
        <f t="shared" si="5"/>
        <v>0</v>
      </c>
    </row>
    <row r="81" spans="1:14" ht="17.25" customHeight="1" x14ac:dyDescent="0.25">
      <c r="A81" s="292">
        <v>1</v>
      </c>
      <c r="B81" s="73" t="s">
        <v>51</v>
      </c>
      <c r="C81" s="72">
        <v>55.75</v>
      </c>
      <c r="D81" s="179">
        <f>ROUND(C81*A81,2)</f>
        <v>55.75</v>
      </c>
      <c r="E81" s="179">
        <f>C81*100%</f>
        <v>55.75</v>
      </c>
      <c r="F81" s="75">
        <v>0</v>
      </c>
      <c r="G81" s="75">
        <v>0</v>
      </c>
      <c r="H81" s="179">
        <f>C81-D81</f>
        <v>0</v>
      </c>
      <c r="I81" s="179">
        <f t="shared" si="9"/>
        <v>4.46</v>
      </c>
      <c r="J81" s="74">
        <v>44299</v>
      </c>
      <c r="K81" s="76">
        <v>44293</v>
      </c>
      <c r="L81" s="244">
        <f t="shared" si="10"/>
        <v>6</v>
      </c>
      <c r="M81" s="363">
        <v>9.1499999999999998E-2</v>
      </c>
      <c r="N81" s="291">
        <f t="shared" si="5"/>
        <v>0</v>
      </c>
    </row>
    <row r="82" spans="1:14" ht="17.25" customHeight="1" x14ac:dyDescent="0.25">
      <c r="A82" s="292">
        <v>1</v>
      </c>
      <c r="B82" s="73" t="s">
        <v>52</v>
      </c>
      <c r="C82" s="72">
        <v>54.63</v>
      </c>
      <c r="D82" s="179">
        <f>ROUND(C82*A82,2)</f>
        <v>54.63</v>
      </c>
      <c r="E82" s="179">
        <f>C82*100%</f>
        <v>54.63</v>
      </c>
      <c r="F82" s="75">
        <v>0</v>
      </c>
      <c r="G82" s="75">
        <v>0</v>
      </c>
      <c r="H82" s="179">
        <f>C82-D82</f>
        <v>0</v>
      </c>
      <c r="I82" s="179">
        <f t="shared" si="9"/>
        <v>4.3704000000000001</v>
      </c>
      <c r="J82" s="74">
        <v>44299</v>
      </c>
      <c r="K82" s="76">
        <v>44293</v>
      </c>
      <c r="L82" s="244">
        <f t="shared" si="10"/>
        <v>6</v>
      </c>
      <c r="M82" s="363">
        <v>9.1499999999999998E-2</v>
      </c>
      <c r="N82" s="291">
        <f t="shared" si="5"/>
        <v>0</v>
      </c>
    </row>
    <row r="83" spans="1:14" ht="17.25" customHeight="1" x14ac:dyDescent="0.25">
      <c r="A83" s="494">
        <v>1</v>
      </c>
      <c r="B83" s="495" t="s">
        <v>53</v>
      </c>
      <c r="C83" s="496">
        <v>2164.9899999999998</v>
      </c>
      <c r="D83" s="497">
        <f>ROUND(C83*A83,2)</f>
        <v>2164.9899999999998</v>
      </c>
      <c r="E83" s="179">
        <v>0</v>
      </c>
      <c r="F83" s="75">
        <f>ROUND(D83*40%,2)</f>
        <v>866</v>
      </c>
      <c r="G83" s="75">
        <v>0</v>
      </c>
      <c r="H83" s="497">
        <v>0</v>
      </c>
      <c r="I83" s="179">
        <f t="shared" si="9"/>
        <v>173.19919999999999</v>
      </c>
      <c r="J83" s="74">
        <v>44305</v>
      </c>
      <c r="K83" s="76">
        <v>44293</v>
      </c>
      <c r="L83" s="244">
        <f t="shared" si="10"/>
        <v>12</v>
      </c>
      <c r="M83" s="363">
        <v>9.1499999999999998E-2</v>
      </c>
      <c r="N83" s="291">
        <f t="shared" si="5"/>
        <v>0</v>
      </c>
    </row>
    <row r="84" spans="1:14" ht="17.25" customHeight="1" x14ac:dyDescent="0.25">
      <c r="A84" s="494"/>
      <c r="B84" s="495"/>
      <c r="C84" s="496"/>
      <c r="D84" s="497"/>
      <c r="E84" s="179">
        <v>0</v>
      </c>
      <c r="F84" s="75">
        <v>0</v>
      </c>
      <c r="G84" s="75">
        <f>D83-F83</f>
        <v>1298.9899999999998</v>
      </c>
      <c r="H84" s="497"/>
      <c r="I84" s="179">
        <f t="shared" si="9"/>
        <v>0</v>
      </c>
      <c r="J84" s="74">
        <v>44308</v>
      </c>
      <c r="K84" s="76">
        <v>44293</v>
      </c>
      <c r="L84" s="244">
        <f t="shared" si="10"/>
        <v>15</v>
      </c>
      <c r="M84" s="363">
        <v>9.1499999999999998E-2</v>
      </c>
      <c r="N84" s="291">
        <f t="shared" si="5"/>
        <v>0</v>
      </c>
    </row>
    <row r="85" spans="1:14" ht="17.25" customHeight="1" x14ac:dyDescent="0.25">
      <c r="A85" s="292">
        <v>1</v>
      </c>
      <c r="B85" s="73" t="s">
        <v>54</v>
      </c>
      <c r="C85" s="72">
        <v>7.92</v>
      </c>
      <c r="D85" s="179">
        <f t="shared" si="11"/>
        <v>7.92</v>
      </c>
      <c r="E85" s="179">
        <f t="shared" ref="E85:E98" si="13">C85*100%</f>
        <v>7.92</v>
      </c>
      <c r="F85" s="75">
        <v>0</v>
      </c>
      <c r="G85" s="75">
        <v>0</v>
      </c>
      <c r="H85" s="179">
        <f t="shared" si="8"/>
        <v>0</v>
      </c>
      <c r="I85" s="179">
        <f t="shared" si="9"/>
        <v>0.63360000000000005</v>
      </c>
      <c r="J85" s="74">
        <v>44299</v>
      </c>
      <c r="K85" s="76">
        <v>44293</v>
      </c>
      <c r="L85" s="244">
        <f t="shared" si="10"/>
        <v>6</v>
      </c>
      <c r="M85" s="363">
        <v>9.1499999999999998E-2</v>
      </c>
      <c r="N85" s="291">
        <f t="shared" ref="N85:N115" si="14">SUM(H85)*M85</f>
        <v>0</v>
      </c>
    </row>
    <row r="86" spans="1:14" ht="17.25" customHeight="1" x14ac:dyDescent="0.25">
      <c r="A86" s="292">
        <v>1</v>
      </c>
      <c r="B86" s="73" t="s">
        <v>55</v>
      </c>
      <c r="C86" s="72">
        <v>4.33</v>
      </c>
      <c r="D86" s="179">
        <f t="shared" si="11"/>
        <v>4.33</v>
      </c>
      <c r="E86" s="179">
        <f t="shared" si="13"/>
        <v>4.33</v>
      </c>
      <c r="F86" s="75">
        <v>0</v>
      </c>
      <c r="G86" s="75">
        <v>0</v>
      </c>
      <c r="H86" s="179">
        <f t="shared" si="8"/>
        <v>0</v>
      </c>
      <c r="I86" s="179">
        <f t="shared" si="9"/>
        <v>0.34639999999999999</v>
      </c>
      <c r="J86" s="74">
        <v>44299</v>
      </c>
      <c r="K86" s="76">
        <v>44293</v>
      </c>
      <c r="L86" s="244">
        <f t="shared" si="10"/>
        <v>6</v>
      </c>
      <c r="M86" s="363">
        <v>9.1499999999999998E-2</v>
      </c>
      <c r="N86" s="291">
        <f t="shared" si="14"/>
        <v>0</v>
      </c>
    </row>
    <row r="87" spans="1:14" ht="17.25" customHeight="1" x14ac:dyDescent="0.25">
      <c r="A87" s="292">
        <v>1</v>
      </c>
      <c r="B87" s="73" t="s">
        <v>57</v>
      </c>
      <c r="C87" s="72">
        <v>4.1500000000000004</v>
      </c>
      <c r="D87" s="179">
        <f t="shared" si="11"/>
        <v>4.1500000000000004</v>
      </c>
      <c r="E87" s="179">
        <f t="shared" si="13"/>
        <v>4.1500000000000004</v>
      </c>
      <c r="F87" s="75">
        <v>0</v>
      </c>
      <c r="G87" s="75">
        <v>0</v>
      </c>
      <c r="H87" s="179">
        <f t="shared" si="8"/>
        <v>0</v>
      </c>
      <c r="I87" s="179">
        <f t="shared" si="9"/>
        <v>0.33200000000000002</v>
      </c>
      <c r="J87" s="74">
        <v>44299</v>
      </c>
      <c r="K87" s="76">
        <v>44293</v>
      </c>
      <c r="L87" s="244">
        <f t="shared" si="10"/>
        <v>6</v>
      </c>
      <c r="M87" s="363">
        <v>9.1499999999999998E-2</v>
      </c>
      <c r="N87" s="291">
        <f t="shared" si="14"/>
        <v>0</v>
      </c>
    </row>
    <row r="88" spans="1:14" ht="17.25" customHeight="1" x14ac:dyDescent="0.25">
      <c r="A88" s="292">
        <v>1</v>
      </c>
      <c r="B88" s="73" t="s">
        <v>106</v>
      </c>
      <c r="C88" s="72">
        <v>419.92</v>
      </c>
      <c r="D88" s="179">
        <f t="shared" si="11"/>
        <v>419.92</v>
      </c>
      <c r="E88" s="179">
        <f t="shared" si="13"/>
        <v>419.92</v>
      </c>
      <c r="F88" s="75">
        <v>0</v>
      </c>
      <c r="G88" s="75">
        <v>0</v>
      </c>
      <c r="H88" s="179">
        <f t="shared" si="8"/>
        <v>0</v>
      </c>
      <c r="I88" s="179">
        <f t="shared" si="9"/>
        <v>33.593600000000002</v>
      </c>
      <c r="J88" s="74">
        <v>44305</v>
      </c>
      <c r="K88" s="76">
        <v>44293</v>
      </c>
      <c r="L88" s="244">
        <f t="shared" si="10"/>
        <v>12</v>
      </c>
      <c r="M88" s="363">
        <v>9.1499999999999998E-2</v>
      </c>
      <c r="N88" s="291">
        <f t="shared" si="14"/>
        <v>0</v>
      </c>
    </row>
    <row r="89" spans="1:14" ht="17.25" customHeight="1" x14ac:dyDescent="0.25">
      <c r="A89" s="292">
        <v>1</v>
      </c>
      <c r="B89" s="73" t="s">
        <v>7</v>
      </c>
      <c r="C89" s="72">
        <v>4.05</v>
      </c>
      <c r="D89" s="179">
        <f t="shared" si="11"/>
        <v>4.05</v>
      </c>
      <c r="E89" s="179">
        <f t="shared" si="13"/>
        <v>4.05</v>
      </c>
      <c r="F89" s="75">
        <v>0</v>
      </c>
      <c r="G89" s="75">
        <v>0</v>
      </c>
      <c r="H89" s="179">
        <f t="shared" si="8"/>
        <v>0</v>
      </c>
      <c r="I89" s="179">
        <f t="shared" si="9"/>
        <v>0.32400000000000001</v>
      </c>
      <c r="J89" s="74">
        <v>44299</v>
      </c>
      <c r="K89" s="76">
        <v>44293</v>
      </c>
      <c r="L89" s="244">
        <f t="shared" si="10"/>
        <v>6</v>
      </c>
      <c r="M89" s="363">
        <v>9.1499999999999998E-2</v>
      </c>
      <c r="N89" s="291">
        <f t="shared" si="14"/>
        <v>0</v>
      </c>
    </row>
    <row r="90" spans="1:14" ht="17.25" customHeight="1" x14ac:dyDescent="0.25">
      <c r="A90" s="292">
        <v>1</v>
      </c>
      <c r="B90" s="73" t="s">
        <v>58</v>
      </c>
      <c r="C90" s="72">
        <v>3.87</v>
      </c>
      <c r="D90" s="179">
        <f t="shared" si="11"/>
        <v>3.87</v>
      </c>
      <c r="E90" s="179">
        <f t="shared" si="13"/>
        <v>3.87</v>
      </c>
      <c r="F90" s="75">
        <v>0</v>
      </c>
      <c r="G90" s="75">
        <v>0</v>
      </c>
      <c r="H90" s="179">
        <f t="shared" si="8"/>
        <v>0</v>
      </c>
      <c r="I90" s="179">
        <f t="shared" si="9"/>
        <v>0.30960000000000004</v>
      </c>
      <c r="J90" s="74">
        <v>44299</v>
      </c>
      <c r="K90" s="76">
        <v>44293</v>
      </c>
      <c r="L90" s="244">
        <f t="shared" si="10"/>
        <v>6</v>
      </c>
      <c r="M90" s="363">
        <v>9.1499999999999998E-2</v>
      </c>
      <c r="N90" s="291">
        <f t="shared" si="14"/>
        <v>0</v>
      </c>
    </row>
    <row r="91" spans="1:14" s="64" customFormat="1" ht="17.25" customHeight="1" x14ac:dyDescent="0.25">
      <c r="A91" s="292">
        <v>1</v>
      </c>
      <c r="B91" s="73" t="s">
        <v>59</v>
      </c>
      <c r="C91" s="72">
        <v>4.68</v>
      </c>
      <c r="D91" s="179">
        <f>ROUND(C91*A91,2)</f>
        <v>4.68</v>
      </c>
      <c r="E91" s="179">
        <f t="shared" si="13"/>
        <v>4.68</v>
      </c>
      <c r="F91" s="75">
        <v>0</v>
      </c>
      <c r="G91" s="75">
        <v>0</v>
      </c>
      <c r="H91" s="179">
        <f>C91-D91</f>
        <v>0</v>
      </c>
      <c r="I91" s="179">
        <f t="shared" si="9"/>
        <v>0.37440000000000001</v>
      </c>
      <c r="J91" s="74">
        <v>44299</v>
      </c>
      <c r="K91" s="76">
        <v>44293</v>
      </c>
      <c r="L91" s="244">
        <f t="shared" si="10"/>
        <v>6</v>
      </c>
      <c r="M91" s="363">
        <v>9.1499999999999998E-2</v>
      </c>
      <c r="N91" s="291">
        <f t="shared" si="14"/>
        <v>0</v>
      </c>
    </row>
    <row r="92" spans="1:14" ht="17.25" customHeight="1" x14ac:dyDescent="0.25">
      <c r="A92" s="292">
        <v>1</v>
      </c>
      <c r="B92" s="73" t="s">
        <v>61</v>
      </c>
      <c r="C92" s="72">
        <v>54.11</v>
      </c>
      <c r="D92" s="179">
        <f t="shared" si="11"/>
        <v>54.11</v>
      </c>
      <c r="E92" s="179">
        <f t="shared" si="13"/>
        <v>54.11</v>
      </c>
      <c r="F92" s="75">
        <v>0</v>
      </c>
      <c r="G92" s="75">
        <v>0</v>
      </c>
      <c r="H92" s="179">
        <f t="shared" ref="H92:H132" si="15">C92-D92</f>
        <v>0</v>
      </c>
      <c r="I92" s="179">
        <f t="shared" si="9"/>
        <v>4.3288000000000002</v>
      </c>
      <c r="J92" s="74">
        <v>44299</v>
      </c>
      <c r="K92" s="76">
        <v>44293</v>
      </c>
      <c r="L92" s="244">
        <f t="shared" si="10"/>
        <v>6</v>
      </c>
      <c r="M92" s="363">
        <v>9.1499999999999998E-2</v>
      </c>
      <c r="N92" s="291">
        <f t="shared" si="14"/>
        <v>0</v>
      </c>
    </row>
    <row r="93" spans="1:14" ht="17.25" customHeight="1" x14ac:dyDescent="0.25">
      <c r="A93" s="292">
        <v>1</v>
      </c>
      <c r="B93" s="73" t="s">
        <v>107</v>
      </c>
      <c r="C93" s="72">
        <v>477.25</v>
      </c>
      <c r="D93" s="179">
        <f t="shared" si="11"/>
        <v>477.25</v>
      </c>
      <c r="E93" s="179">
        <f t="shared" si="13"/>
        <v>477.25</v>
      </c>
      <c r="F93" s="75">
        <v>0</v>
      </c>
      <c r="G93" s="75">
        <v>0</v>
      </c>
      <c r="H93" s="179">
        <f t="shared" si="15"/>
        <v>0</v>
      </c>
      <c r="I93" s="179">
        <f t="shared" si="9"/>
        <v>38.18</v>
      </c>
      <c r="J93" s="74">
        <v>44305</v>
      </c>
      <c r="K93" s="76">
        <v>44293</v>
      </c>
      <c r="L93" s="244">
        <f t="shared" si="10"/>
        <v>12</v>
      </c>
      <c r="M93" s="363">
        <v>9.1499999999999998E-2</v>
      </c>
      <c r="N93" s="291">
        <f t="shared" si="14"/>
        <v>0</v>
      </c>
    </row>
    <row r="94" spans="1:14" ht="17.25" customHeight="1" x14ac:dyDescent="0.25">
      <c r="A94" s="292">
        <v>1</v>
      </c>
      <c r="B94" s="73" t="s">
        <v>108</v>
      </c>
      <c r="C94" s="496">
        <v>803.36</v>
      </c>
      <c r="D94" s="179">
        <f>ROUND(C94*A94,2)-D95</f>
        <v>368.65000000000003</v>
      </c>
      <c r="E94" s="179">
        <f t="shared" si="13"/>
        <v>803.36</v>
      </c>
      <c r="F94" s="75">
        <v>0</v>
      </c>
      <c r="G94" s="75">
        <v>0</v>
      </c>
      <c r="H94" s="179">
        <f>C94-D94-D95</f>
        <v>0</v>
      </c>
      <c r="I94" s="179">
        <f t="shared" si="9"/>
        <v>64.268799999999999</v>
      </c>
      <c r="J94" s="74">
        <v>44301</v>
      </c>
      <c r="K94" s="76">
        <v>44293</v>
      </c>
      <c r="L94" s="244">
        <f t="shared" si="10"/>
        <v>8</v>
      </c>
      <c r="M94" s="363">
        <v>9.1499999999999998E-2</v>
      </c>
      <c r="N94" s="291">
        <f t="shared" si="14"/>
        <v>0</v>
      </c>
    </row>
    <row r="95" spans="1:14" ht="17.25" customHeight="1" x14ac:dyDescent="0.25">
      <c r="A95" s="292">
        <v>1</v>
      </c>
      <c r="B95" s="73" t="s">
        <v>108</v>
      </c>
      <c r="C95" s="496"/>
      <c r="D95" s="179">
        <v>434.71</v>
      </c>
      <c r="E95" s="179">
        <f t="shared" si="13"/>
        <v>0</v>
      </c>
      <c r="F95" s="75">
        <v>0</v>
      </c>
      <c r="G95" s="75">
        <v>0</v>
      </c>
      <c r="H95" s="179">
        <v>0</v>
      </c>
      <c r="I95" s="179">
        <f t="shared" si="9"/>
        <v>0</v>
      </c>
      <c r="J95" s="74">
        <v>44301</v>
      </c>
      <c r="K95" s="76">
        <v>44293</v>
      </c>
      <c r="L95" s="244">
        <f t="shared" si="10"/>
        <v>8</v>
      </c>
      <c r="M95" s="363">
        <v>9.1499999999999998E-2</v>
      </c>
      <c r="N95" s="291">
        <f t="shared" si="14"/>
        <v>0</v>
      </c>
    </row>
    <row r="96" spans="1:14" ht="17.25" customHeight="1" x14ac:dyDescent="0.25">
      <c r="A96" s="292">
        <v>1</v>
      </c>
      <c r="B96" s="73" t="s">
        <v>62</v>
      </c>
      <c r="C96" s="72">
        <v>2.85</v>
      </c>
      <c r="D96" s="179">
        <f t="shared" si="11"/>
        <v>2.85</v>
      </c>
      <c r="E96" s="179">
        <f t="shared" si="13"/>
        <v>2.85</v>
      </c>
      <c r="F96" s="75">
        <v>0</v>
      </c>
      <c r="G96" s="75">
        <v>0</v>
      </c>
      <c r="H96" s="179">
        <f t="shared" si="15"/>
        <v>0</v>
      </c>
      <c r="I96" s="179">
        <f t="shared" si="9"/>
        <v>0.22800000000000001</v>
      </c>
      <c r="J96" s="74">
        <v>44299</v>
      </c>
      <c r="K96" s="76">
        <v>44293</v>
      </c>
      <c r="L96" s="244">
        <f t="shared" si="10"/>
        <v>6</v>
      </c>
      <c r="M96" s="363">
        <v>9.1499999999999998E-2</v>
      </c>
      <c r="N96" s="291">
        <f t="shared" si="14"/>
        <v>0</v>
      </c>
    </row>
    <row r="97" spans="1:14" ht="17.25" customHeight="1" x14ac:dyDescent="0.25">
      <c r="A97" s="292">
        <v>1</v>
      </c>
      <c r="B97" s="73" t="s">
        <v>64</v>
      </c>
      <c r="C97" s="72">
        <v>10.79</v>
      </c>
      <c r="D97" s="179">
        <f t="shared" si="11"/>
        <v>10.79</v>
      </c>
      <c r="E97" s="179">
        <f t="shared" si="13"/>
        <v>10.79</v>
      </c>
      <c r="F97" s="75">
        <v>0</v>
      </c>
      <c r="G97" s="75">
        <v>0</v>
      </c>
      <c r="H97" s="179">
        <f t="shared" si="15"/>
        <v>0</v>
      </c>
      <c r="I97" s="179">
        <f t="shared" si="9"/>
        <v>0.86319999999999997</v>
      </c>
      <c r="J97" s="74">
        <v>44299</v>
      </c>
      <c r="K97" s="76">
        <v>44293</v>
      </c>
      <c r="L97" s="244">
        <f t="shared" si="10"/>
        <v>6</v>
      </c>
      <c r="M97" s="363">
        <v>9.1499999999999998E-2</v>
      </c>
      <c r="N97" s="291">
        <f t="shared" si="14"/>
        <v>0</v>
      </c>
    </row>
    <row r="98" spans="1:14" ht="17.25" customHeight="1" x14ac:dyDescent="0.25">
      <c r="A98" s="292">
        <v>1</v>
      </c>
      <c r="B98" s="73" t="s">
        <v>65</v>
      </c>
      <c r="C98" s="72">
        <v>467.89</v>
      </c>
      <c r="D98" s="179">
        <f t="shared" si="11"/>
        <v>467.89</v>
      </c>
      <c r="E98" s="179">
        <f t="shared" si="13"/>
        <v>467.89</v>
      </c>
      <c r="F98" s="75">
        <v>0</v>
      </c>
      <c r="G98" s="75">
        <v>0</v>
      </c>
      <c r="H98" s="179">
        <f t="shared" si="15"/>
        <v>0</v>
      </c>
      <c r="I98" s="179">
        <f t="shared" si="9"/>
        <v>37.431199999999997</v>
      </c>
      <c r="J98" s="74">
        <v>44305</v>
      </c>
      <c r="K98" s="76">
        <v>44293</v>
      </c>
      <c r="L98" s="244">
        <f t="shared" si="10"/>
        <v>12</v>
      </c>
      <c r="M98" s="363">
        <v>9.1499999999999998E-2</v>
      </c>
      <c r="N98" s="291">
        <f t="shared" si="14"/>
        <v>0</v>
      </c>
    </row>
    <row r="99" spans="1:14" ht="17.25" customHeight="1" x14ac:dyDescent="0.25">
      <c r="A99" s="494">
        <v>1</v>
      </c>
      <c r="B99" s="495" t="s">
        <v>66</v>
      </c>
      <c r="C99" s="496">
        <v>1040.6400000000001</v>
      </c>
      <c r="D99" s="497">
        <f t="shared" si="11"/>
        <v>1040.6400000000001</v>
      </c>
      <c r="E99" s="179">
        <v>0</v>
      </c>
      <c r="F99" s="75">
        <f>ROUND(D99*40%,2)</f>
        <v>416.26</v>
      </c>
      <c r="G99" s="75">
        <v>0</v>
      </c>
      <c r="H99" s="497">
        <f t="shared" si="15"/>
        <v>0</v>
      </c>
      <c r="I99" s="179">
        <f t="shared" si="9"/>
        <v>83.251200000000011</v>
      </c>
      <c r="J99" s="74">
        <v>44305</v>
      </c>
      <c r="K99" s="76">
        <v>44293</v>
      </c>
      <c r="L99" s="244">
        <f t="shared" si="10"/>
        <v>12</v>
      </c>
      <c r="M99" s="363">
        <v>9.1499999999999998E-2</v>
      </c>
      <c r="N99" s="291">
        <f t="shared" si="14"/>
        <v>0</v>
      </c>
    </row>
    <row r="100" spans="1:14" ht="17.25" customHeight="1" x14ac:dyDescent="0.25">
      <c r="A100" s="494"/>
      <c r="B100" s="495"/>
      <c r="C100" s="496"/>
      <c r="D100" s="497"/>
      <c r="E100" s="179">
        <v>0</v>
      </c>
      <c r="F100" s="75">
        <v>0</v>
      </c>
      <c r="G100" s="75">
        <f>D99-F99</f>
        <v>624.38000000000011</v>
      </c>
      <c r="H100" s="497"/>
      <c r="I100" s="179">
        <f t="shared" si="9"/>
        <v>0</v>
      </c>
      <c r="J100" s="74">
        <v>44308</v>
      </c>
      <c r="K100" s="76">
        <v>44293</v>
      </c>
      <c r="L100" s="244">
        <f t="shared" si="10"/>
        <v>15</v>
      </c>
      <c r="M100" s="363">
        <v>9.1499999999999998E-2</v>
      </c>
      <c r="N100" s="291">
        <f t="shared" si="14"/>
        <v>0</v>
      </c>
    </row>
    <row r="101" spans="1:14" ht="17.25" customHeight="1" x14ac:dyDescent="0.25">
      <c r="A101" s="292">
        <v>1</v>
      </c>
      <c r="B101" s="73" t="s">
        <v>67</v>
      </c>
      <c r="C101" s="72">
        <v>766.96</v>
      </c>
      <c r="D101" s="179">
        <f t="shared" si="11"/>
        <v>766.96</v>
      </c>
      <c r="E101" s="179">
        <f>C101*100%</f>
        <v>766.96</v>
      </c>
      <c r="F101" s="75">
        <v>0</v>
      </c>
      <c r="G101" s="75">
        <v>0</v>
      </c>
      <c r="H101" s="179">
        <f t="shared" si="15"/>
        <v>0</v>
      </c>
      <c r="I101" s="179">
        <f t="shared" si="9"/>
        <v>61.356800000000007</v>
      </c>
      <c r="J101" s="74">
        <v>44305</v>
      </c>
      <c r="K101" s="76">
        <v>44293</v>
      </c>
      <c r="L101" s="244">
        <f t="shared" si="10"/>
        <v>12</v>
      </c>
      <c r="M101" s="363">
        <v>9.1499999999999998E-2</v>
      </c>
      <c r="N101" s="291">
        <f t="shared" si="14"/>
        <v>0</v>
      </c>
    </row>
    <row r="102" spans="1:14" ht="17.25" customHeight="1" x14ac:dyDescent="0.25">
      <c r="A102" s="292">
        <v>1</v>
      </c>
      <c r="B102" s="73" t="s">
        <v>68</v>
      </c>
      <c r="C102" s="72">
        <v>633.4</v>
      </c>
      <c r="D102" s="179">
        <f t="shared" si="11"/>
        <v>633.4</v>
      </c>
      <c r="E102" s="179">
        <f>C102*100%</f>
        <v>633.4</v>
      </c>
      <c r="F102" s="75">
        <v>0</v>
      </c>
      <c r="G102" s="75">
        <v>0</v>
      </c>
      <c r="H102" s="179">
        <f t="shared" si="15"/>
        <v>0</v>
      </c>
      <c r="I102" s="179">
        <f t="shared" si="9"/>
        <v>50.671999999999997</v>
      </c>
      <c r="J102" s="74">
        <v>44305</v>
      </c>
      <c r="K102" s="76">
        <v>44293</v>
      </c>
      <c r="L102" s="244">
        <f t="shared" si="10"/>
        <v>12</v>
      </c>
      <c r="M102" s="363">
        <v>9.1499999999999998E-2</v>
      </c>
      <c r="N102" s="291">
        <f t="shared" si="14"/>
        <v>0</v>
      </c>
    </row>
    <row r="103" spans="1:14" ht="17.25" customHeight="1" x14ac:dyDescent="0.25">
      <c r="A103" s="494">
        <v>1</v>
      </c>
      <c r="B103" s="495" t="s">
        <v>109</v>
      </c>
      <c r="C103" s="496">
        <v>1205.1500000000001</v>
      </c>
      <c r="D103" s="497">
        <f t="shared" si="11"/>
        <v>1205.1500000000001</v>
      </c>
      <c r="E103" s="179">
        <v>0</v>
      </c>
      <c r="F103" s="75">
        <f>ROUND(D103*40%,2)</f>
        <v>482.06</v>
      </c>
      <c r="G103" s="75">
        <v>0</v>
      </c>
      <c r="H103" s="497">
        <f t="shared" si="15"/>
        <v>0</v>
      </c>
      <c r="I103" s="179">
        <f t="shared" si="9"/>
        <v>96.412000000000006</v>
      </c>
      <c r="J103" s="74">
        <v>44305</v>
      </c>
      <c r="K103" s="76">
        <v>44293</v>
      </c>
      <c r="L103" s="244">
        <f t="shared" si="10"/>
        <v>12</v>
      </c>
      <c r="M103" s="363">
        <v>9.1499999999999998E-2</v>
      </c>
      <c r="N103" s="291">
        <f t="shared" si="14"/>
        <v>0</v>
      </c>
    </row>
    <row r="104" spans="1:14" ht="17.25" customHeight="1" x14ac:dyDescent="0.25">
      <c r="A104" s="494"/>
      <c r="B104" s="495"/>
      <c r="C104" s="496"/>
      <c r="D104" s="497"/>
      <c r="E104" s="179">
        <v>0</v>
      </c>
      <c r="F104" s="75">
        <v>0</v>
      </c>
      <c r="G104" s="75">
        <f>D103-F103</f>
        <v>723.09000000000015</v>
      </c>
      <c r="H104" s="497"/>
      <c r="I104" s="179">
        <f t="shared" si="9"/>
        <v>0</v>
      </c>
      <c r="J104" s="74">
        <v>44308</v>
      </c>
      <c r="K104" s="76">
        <v>44293</v>
      </c>
      <c r="L104" s="244">
        <f t="shared" si="10"/>
        <v>15</v>
      </c>
      <c r="M104" s="363">
        <v>9.1499999999999998E-2</v>
      </c>
      <c r="N104" s="291">
        <f t="shared" si="14"/>
        <v>0</v>
      </c>
    </row>
    <row r="105" spans="1:14" ht="17.25" customHeight="1" x14ac:dyDescent="0.25">
      <c r="A105" s="292">
        <v>1</v>
      </c>
      <c r="B105" s="73" t="s">
        <v>71</v>
      </c>
      <c r="C105" s="72">
        <v>2.85</v>
      </c>
      <c r="D105" s="179">
        <f t="shared" si="11"/>
        <v>2.85</v>
      </c>
      <c r="E105" s="179">
        <f>C105*100%</f>
        <v>2.85</v>
      </c>
      <c r="F105" s="75">
        <v>0</v>
      </c>
      <c r="G105" s="75">
        <v>0</v>
      </c>
      <c r="H105" s="179">
        <f t="shared" si="15"/>
        <v>0</v>
      </c>
      <c r="I105" s="179">
        <f t="shared" si="9"/>
        <v>0.22800000000000001</v>
      </c>
      <c r="J105" s="76">
        <v>44299</v>
      </c>
      <c r="K105" s="76">
        <v>44293</v>
      </c>
      <c r="L105" s="244">
        <f t="shared" si="10"/>
        <v>6</v>
      </c>
      <c r="M105" s="363">
        <v>9.1499999999999998E-2</v>
      </c>
      <c r="N105" s="291">
        <f t="shared" si="14"/>
        <v>0</v>
      </c>
    </row>
    <row r="106" spans="1:14" ht="17.25" customHeight="1" x14ac:dyDescent="0.25">
      <c r="A106" s="292">
        <v>1</v>
      </c>
      <c r="B106" s="73" t="s">
        <v>72</v>
      </c>
      <c r="C106" s="72">
        <v>102.54</v>
      </c>
      <c r="D106" s="179">
        <f>ROUND(C106*A106,2)</f>
        <v>102.54</v>
      </c>
      <c r="E106" s="179">
        <f>C106*100%</f>
        <v>102.54</v>
      </c>
      <c r="F106" s="75">
        <v>0</v>
      </c>
      <c r="G106" s="75">
        <v>0</v>
      </c>
      <c r="H106" s="179">
        <f>C106-D106</f>
        <v>0</v>
      </c>
      <c r="I106" s="179">
        <f t="shared" si="9"/>
        <v>8.2032000000000007</v>
      </c>
      <c r="J106" s="76">
        <v>44299</v>
      </c>
      <c r="K106" s="76">
        <v>44293</v>
      </c>
      <c r="L106" s="244">
        <f t="shared" si="10"/>
        <v>6</v>
      </c>
      <c r="M106" s="363">
        <v>9.1499999999999998E-2</v>
      </c>
      <c r="N106" s="291">
        <f t="shared" si="14"/>
        <v>0</v>
      </c>
    </row>
    <row r="107" spans="1:14" ht="17.25" customHeight="1" x14ac:dyDescent="0.25">
      <c r="A107" s="292">
        <v>1</v>
      </c>
      <c r="B107" s="73" t="s">
        <v>73</v>
      </c>
      <c r="C107" s="72">
        <v>740.1</v>
      </c>
      <c r="D107" s="179">
        <f t="shared" ref="D107:D143" si="16">ROUND(C107*A107,2)</f>
        <v>740.1</v>
      </c>
      <c r="E107" s="179">
        <f>C107*100%</f>
        <v>740.1</v>
      </c>
      <c r="F107" s="75">
        <v>0</v>
      </c>
      <c r="G107" s="75">
        <v>0</v>
      </c>
      <c r="H107" s="179">
        <f t="shared" si="15"/>
        <v>0</v>
      </c>
      <c r="I107" s="179">
        <f t="shared" si="9"/>
        <v>59.208000000000006</v>
      </c>
      <c r="J107" s="76">
        <v>44305</v>
      </c>
      <c r="K107" s="76">
        <v>44293</v>
      </c>
      <c r="L107" s="244">
        <f t="shared" si="10"/>
        <v>12</v>
      </c>
      <c r="M107" s="363">
        <v>9.1499999999999998E-2</v>
      </c>
      <c r="N107" s="291">
        <f t="shared" si="14"/>
        <v>0</v>
      </c>
    </row>
    <row r="108" spans="1:14" ht="17.25" customHeight="1" x14ac:dyDescent="0.25">
      <c r="A108" s="494">
        <v>1</v>
      </c>
      <c r="B108" s="495" t="s">
        <v>74</v>
      </c>
      <c r="C108" s="496">
        <v>3498.01</v>
      </c>
      <c r="D108" s="497">
        <f t="shared" si="16"/>
        <v>3498.01</v>
      </c>
      <c r="E108" s="179">
        <v>0</v>
      </c>
      <c r="F108" s="75">
        <f>ROUND(D108*40%,2)</f>
        <v>1399.2</v>
      </c>
      <c r="G108" s="75">
        <v>0</v>
      </c>
      <c r="H108" s="497">
        <f t="shared" si="15"/>
        <v>0</v>
      </c>
      <c r="I108" s="179">
        <f t="shared" si="9"/>
        <v>279.8408</v>
      </c>
      <c r="J108" s="76">
        <v>44305</v>
      </c>
      <c r="K108" s="76">
        <v>44293</v>
      </c>
      <c r="L108" s="244">
        <f t="shared" si="10"/>
        <v>12</v>
      </c>
      <c r="M108" s="363">
        <v>9.1499999999999998E-2</v>
      </c>
      <c r="N108" s="291">
        <f t="shared" si="14"/>
        <v>0</v>
      </c>
    </row>
    <row r="109" spans="1:14" ht="17.25" customHeight="1" x14ac:dyDescent="0.25">
      <c r="A109" s="494"/>
      <c r="B109" s="495"/>
      <c r="C109" s="496"/>
      <c r="D109" s="497"/>
      <c r="E109" s="179">
        <v>0</v>
      </c>
      <c r="F109" s="75">
        <v>0</v>
      </c>
      <c r="G109" s="75">
        <f>D108-F108</f>
        <v>2098.8100000000004</v>
      </c>
      <c r="H109" s="497"/>
      <c r="I109" s="179">
        <f t="shared" si="9"/>
        <v>0</v>
      </c>
      <c r="J109" s="76">
        <v>44308</v>
      </c>
      <c r="K109" s="76">
        <v>44293</v>
      </c>
      <c r="L109" s="244">
        <f t="shared" si="10"/>
        <v>15</v>
      </c>
      <c r="M109" s="363">
        <v>9.1499999999999998E-2</v>
      </c>
      <c r="N109" s="291">
        <f t="shared" si="14"/>
        <v>0</v>
      </c>
    </row>
    <row r="110" spans="1:14" ht="17.25" customHeight="1" x14ac:dyDescent="0.25">
      <c r="A110" s="292">
        <v>1</v>
      </c>
      <c r="B110" s="73" t="s">
        <v>110</v>
      </c>
      <c r="C110" s="72">
        <v>471.19</v>
      </c>
      <c r="D110" s="179">
        <f t="shared" si="16"/>
        <v>471.19</v>
      </c>
      <c r="E110" s="179">
        <f>C110*100%</f>
        <v>471.19</v>
      </c>
      <c r="F110" s="75">
        <v>0</v>
      </c>
      <c r="G110" s="75">
        <v>0</v>
      </c>
      <c r="H110" s="179">
        <f t="shared" si="15"/>
        <v>0</v>
      </c>
      <c r="I110" s="179">
        <f t="shared" si="9"/>
        <v>37.6952</v>
      </c>
      <c r="J110" s="76">
        <v>44305</v>
      </c>
      <c r="K110" s="76">
        <v>44293</v>
      </c>
      <c r="L110" s="244">
        <f t="shared" si="10"/>
        <v>12</v>
      </c>
      <c r="M110" s="363">
        <v>9.1499999999999998E-2</v>
      </c>
      <c r="N110" s="291">
        <f t="shared" si="14"/>
        <v>0</v>
      </c>
    </row>
    <row r="111" spans="1:14" ht="17.25" customHeight="1" x14ac:dyDescent="0.25">
      <c r="A111" s="494">
        <v>1</v>
      </c>
      <c r="B111" s="495" t="s">
        <v>77</v>
      </c>
      <c r="C111" s="496">
        <v>1533.01</v>
      </c>
      <c r="D111" s="497">
        <f t="shared" si="16"/>
        <v>1533.01</v>
      </c>
      <c r="E111" s="179">
        <v>0</v>
      </c>
      <c r="F111" s="75">
        <f>ROUND(D111*40%,2)</f>
        <v>613.20000000000005</v>
      </c>
      <c r="G111" s="75">
        <v>0</v>
      </c>
      <c r="H111" s="497">
        <f t="shared" si="15"/>
        <v>0</v>
      </c>
      <c r="I111" s="179">
        <f t="shared" si="9"/>
        <v>122.6408</v>
      </c>
      <c r="J111" s="76">
        <v>44305</v>
      </c>
      <c r="K111" s="76">
        <v>44293</v>
      </c>
      <c r="L111" s="244">
        <f t="shared" si="10"/>
        <v>12</v>
      </c>
      <c r="M111" s="363">
        <v>9.1499999999999998E-2</v>
      </c>
      <c r="N111" s="291">
        <f t="shared" si="14"/>
        <v>0</v>
      </c>
    </row>
    <row r="112" spans="1:14" ht="17.25" customHeight="1" x14ac:dyDescent="0.25">
      <c r="A112" s="494"/>
      <c r="B112" s="495"/>
      <c r="C112" s="496"/>
      <c r="D112" s="497"/>
      <c r="E112" s="179">
        <v>0</v>
      </c>
      <c r="F112" s="75">
        <v>0</v>
      </c>
      <c r="G112" s="75">
        <f>D111-F111</f>
        <v>919.81</v>
      </c>
      <c r="H112" s="497"/>
      <c r="I112" s="179">
        <f t="shared" si="9"/>
        <v>0</v>
      </c>
      <c r="J112" s="76">
        <v>44308</v>
      </c>
      <c r="K112" s="76">
        <v>44293</v>
      </c>
      <c r="L112" s="244">
        <f t="shared" si="10"/>
        <v>15</v>
      </c>
      <c r="M112" s="363">
        <v>9.1499999999999998E-2</v>
      </c>
      <c r="N112" s="291">
        <f t="shared" si="14"/>
        <v>0</v>
      </c>
    </row>
    <row r="113" spans="1:14" ht="17.25" customHeight="1" x14ac:dyDescent="0.25">
      <c r="A113" s="494">
        <v>1</v>
      </c>
      <c r="B113" s="495" t="s">
        <v>78</v>
      </c>
      <c r="C113" s="496">
        <v>1976.32</v>
      </c>
      <c r="D113" s="497">
        <f t="shared" si="16"/>
        <v>1976.32</v>
      </c>
      <c r="E113" s="179">
        <v>0</v>
      </c>
      <c r="F113" s="75">
        <f>ROUND(D113*40%,2)</f>
        <v>790.53</v>
      </c>
      <c r="G113" s="75">
        <v>0</v>
      </c>
      <c r="H113" s="497">
        <f t="shared" si="15"/>
        <v>0</v>
      </c>
      <c r="I113" s="179">
        <f t="shared" si="9"/>
        <v>158.10560000000001</v>
      </c>
      <c r="J113" s="76">
        <v>44305</v>
      </c>
      <c r="K113" s="76">
        <v>44293</v>
      </c>
      <c r="L113" s="244">
        <f t="shared" si="10"/>
        <v>12</v>
      </c>
      <c r="M113" s="363">
        <v>9.1499999999999998E-2</v>
      </c>
      <c r="N113" s="291">
        <f t="shared" si="14"/>
        <v>0</v>
      </c>
    </row>
    <row r="114" spans="1:14" ht="17.25" customHeight="1" x14ac:dyDescent="0.25">
      <c r="A114" s="494"/>
      <c r="B114" s="495"/>
      <c r="C114" s="496"/>
      <c r="D114" s="497"/>
      <c r="E114" s="179">
        <v>0</v>
      </c>
      <c r="F114" s="75">
        <v>0</v>
      </c>
      <c r="G114" s="75">
        <f>D113-F113</f>
        <v>1185.79</v>
      </c>
      <c r="H114" s="497"/>
      <c r="I114" s="179">
        <f t="shared" si="9"/>
        <v>0</v>
      </c>
      <c r="J114" s="76">
        <v>44308</v>
      </c>
      <c r="K114" s="76">
        <v>44293</v>
      </c>
      <c r="L114" s="244">
        <f t="shared" si="10"/>
        <v>15</v>
      </c>
      <c r="M114" s="363">
        <v>9.1499999999999998E-2</v>
      </c>
      <c r="N114" s="291">
        <f t="shared" si="14"/>
        <v>0</v>
      </c>
    </row>
    <row r="115" spans="1:14" ht="17.25" customHeight="1" x14ac:dyDescent="0.25">
      <c r="A115" s="292">
        <v>1</v>
      </c>
      <c r="B115" s="73" t="s">
        <v>79</v>
      </c>
      <c r="C115" s="72">
        <v>770.84</v>
      </c>
      <c r="D115" s="179">
        <f t="shared" si="16"/>
        <v>770.84</v>
      </c>
      <c r="E115" s="179">
        <f>C115*100%</f>
        <v>770.84</v>
      </c>
      <c r="F115" s="75">
        <v>0</v>
      </c>
      <c r="G115" s="75">
        <v>0</v>
      </c>
      <c r="H115" s="179">
        <f t="shared" si="15"/>
        <v>0</v>
      </c>
      <c r="I115" s="179">
        <f t="shared" si="9"/>
        <v>61.667200000000001</v>
      </c>
      <c r="J115" s="76">
        <v>44305</v>
      </c>
      <c r="K115" s="76">
        <v>44293</v>
      </c>
      <c r="L115" s="244">
        <f t="shared" si="10"/>
        <v>12</v>
      </c>
      <c r="M115" s="363">
        <v>9.1499999999999998E-2</v>
      </c>
      <c r="N115" s="291">
        <f t="shared" si="14"/>
        <v>0</v>
      </c>
    </row>
    <row r="116" spans="1:14" ht="17.25" customHeight="1" x14ac:dyDescent="0.25">
      <c r="A116" s="292">
        <v>1</v>
      </c>
      <c r="B116" s="73" t="s">
        <v>111</v>
      </c>
      <c r="C116" s="72">
        <v>770.76</v>
      </c>
      <c r="D116" s="179">
        <f t="shared" si="16"/>
        <v>770.76</v>
      </c>
      <c r="E116" s="179">
        <f>C116*100%</f>
        <v>770.76</v>
      </c>
      <c r="F116" s="75">
        <v>0</v>
      </c>
      <c r="G116" s="75">
        <v>0</v>
      </c>
      <c r="H116" s="179">
        <f t="shared" si="15"/>
        <v>0</v>
      </c>
      <c r="I116" s="179">
        <f t="shared" si="9"/>
        <v>61.660800000000002</v>
      </c>
      <c r="J116" s="76">
        <v>44305</v>
      </c>
      <c r="K116" s="76">
        <v>44293</v>
      </c>
      <c r="L116" s="244">
        <f t="shared" si="10"/>
        <v>12</v>
      </c>
      <c r="M116" s="363">
        <v>9.1499999999999998E-2</v>
      </c>
      <c r="N116" s="291">
        <f t="shared" ref="N116:N140" si="17">SUM(H116)*M116</f>
        <v>0</v>
      </c>
    </row>
    <row r="117" spans="1:14" ht="17.25" customHeight="1" x14ac:dyDescent="0.25">
      <c r="A117" s="494">
        <v>1</v>
      </c>
      <c r="B117" s="495" t="s">
        <v>80</v>
      </c>
      <c r="C117" s="496">
        <v>1912.14</v>
      </c>
      <c r="D117" s="497">
        <f t="shared" si="16"/>
        <v>1912.14</v>
      </c>
      <c r="E117" s="179">
        <v>0</v>
      </c>
      <c r="F117" s="75">
        <f>ROUND(D117*40%,2)</f>
        <v>764.86</v>
      </c>
      <c r="G117" s="75">
        <v>0</v>
      </c>
      <c r="H117" s="497">
        <f t="shared" si="15"/>
        <v>0</v>
      </c>
      <c r="I117" s="179">
        <f t="shared" si="9"/>
        <v>152.97120000000001</v>
      </c>
      <c r="J117" s="76">
        <v>44305</v>
      </c>
      <c r="K117" s="76">
        <v>44293</v>
      </c>
      <c r="L117" s="244">
        <f t="shared" si="10"/>
        <v>12</v>
      </c>
      <c r="M117" s="363">
        <v>9.1499999999999998E-2</v>
      </c>
      <c r="N117" s="291">
        <f t="shared" si="17"/>
        <v>0</v>
      </c>
    </row>
    <row r="118" spans="1:14" ht="17.25" customHeight="1" x14ac:dyDescent="0.25">
      <c r="A118" s="494"/>
      <c r="B118" s="495"/>
      <c r="C118" s="496"/>
      <c r="D118" s="497"/>
      <c r="E118" s="179">
        <v>0</v>
      </c>
      <c r="F118" s="75">
        <v>0</v>
      </c>
      <c r="G118" s="75">
        <f>D117-F117</f>
        <v>1147.2800000000002</v>
      </c>
      <c r="H118" s="497"/>
      <c r="I118" s="179">
        <f t="shared" si="9"/>
        <v>0</v>
      </c>
      <c r="J118" s="76">
        <v>44308</v>
      </c>
      <c r="K118" s="76">
        <v>44293</v>
      </c>
      <c r="L118" s="244">
        <f t="shared" si="10"/>
        <v>15</v>
      </c>
      <c r="M118" s="363">
        <v>9.1499999999999998E-2</v>
      </c>
      <c r="N118" s="291">
        <f t="shared" si="17"/>
        <v>0</v>
      </c>
    </row>
    <row r="119" spans="1:14" ht="17.25" customHeight="1" x14ac:dyDescent="0.25">
      <c r="A119" s="292">
        <v>1</v>
      </c>
      <c r="B119" s="177" t="s">
        <v>81</v>
      </c>
      <c r="C119" s="178">
        <v>822.11</v>
      </c>
      <c r="D119" s="180">
        <f t="shared" si="16"/>
        <v>822.11</v>
      </c>
      <c r="E119" s="179">
        <f>C119*100%</f>
        <v>822.11</v>
      </c>
      <c r="F119" s="75">
        <v>0</v>
      </c>
      <c r="G119" s="75">
        <v>0</v>
      </c>
      <c r="H119" s="180">
        <f t="shared" si="15"/>
        <v>0</v>
      </c>
      <c r="I119" s="179">
        <f t="shared" si="9"/>
        <v>65.768799999999999</v>
      </c>
      <c r="J119" s="76">
        <v>44305</v>
      </c>
      <c r="K119" s="76">
        <v>44293</v>
      </c>
      <c r="L119" s="244">
        <f t="shared" si="10"/>
        <v>12</v>
      </c>
      <c r="M119" s="363">
        <v>9.1499999999999998E-2</v>
      </c>
      <c r="N119" s="291">
        <f t="shared" si="17"/>
        <v>0</v>
      </c>
    </row>
    <row r="120" spans="1:14" ht="17.25" customHeight="1" x14ac:dyDescent="0.25">
      <c r="A120" s="494">
        <v>1</v>
      </c>
      <c r="B120" s="495" t="s">
        <v>82</v>
      </c>
      <c r="C120" s="496">
        <v>1533.01</v>
      </c>
      <c r="D120" s="497">
        <f t="shared" si="16"/>
        <v>1533.01</v>
      </c>
      <c r="E120" s="179">
        <v>0</v>
      </c>
      <c r="F120" s="75">
        <f>ROUND(D120*40%,2)</f>
        <v>613.20000000000005</v>
      </c>
      <c r="G120" s="75">
        <v>0</v>
      </c>
      <c r="H120" s="497">
        <f t="shared" si="15"/>
        <v>0</v>
      </c>
      <c r="I120" s="179">
        <f t="shared" si="9"/>
        <v>122.6408</v>
      </c>
      <c r="J120" s="76">
        <v>44305</v>
      </c>
      <c r="K120" s="76">
        <v>44293</v>
      </c>
      <c r="L120" s="244">
        <f t="shared" si="10"/>
        <v>12</v>
      </c>
      <c r="M120" s="363">
        <v>9.1499999999999998E-2</v>
      </c>
      <c r="N120" s="291">
        <f t="shared" si="17"/>
        <v>0</v>
      </c>
    </row>
    <row r="121" spans="1:14" ht="17.25" customHeight="1" x14ac:dyDescent="0.25">
      <c r="A121" s="494"/>
      <c r="B121" s="495"/>
      <c r="C121" s="496"/>
      <c r="D121" s="497"/>
      <c r="E121" s="179">
        <v>0</v>
      </c>
      <c r="F121" s="75">
        <v>0</v>
      </c>
      <c r="G121" s="75">
        <f>D120-F120</f>
        <v>919.81</v>
      </c>
      <c r="H121" s="497"/>
      <c r="I121" s="179">
        <f t="shared" si="9"/>
        <v>0</v>
      </c>
      <c r="J121" s="76">
        <v>44308</v>
      </c>
      <c r="K121" s="76">
        <v>44293</v>
      </c>
      <c r="L121" s="244">
        <f t="shared" si="10"/>
        <v>15</v>
      </c>
      <c r="M121" s="363">
        <v>9.1499999999999998E-2</v>
      </c>
      <c r="N121" s="291">
        <f t="shared" si="17"/>
        <v>0</v>
      </c>
    </row>
    <row r="122" spans="1:14" ht="17.25" customHeight="1" x14ac:dyDescent="0.25">
      <c r="A122" s="292">
        <v>1</v>
      </c>
      <c r="B122" s="73" t="s">
        <v>112</v>
      </c>
      <c r="C122" s="72">
        <v>7.67</v>
      </c>
      <c r="D122" s="179">
        <f t="shared" si="16"/>
        <v>7.67</v>
      </c>
      <c r="E122" s="179">
        <f>C122*100%</f>
        <v>7.67</v>
      </c>
      <c r="F122" s="75">
        <v>0</v>
      </c>
      <c r="G122" s="75">
        <v>0</v>
      </c>
      <c r="H122" s="179">
        <f t="shared" si="15"/>
        <v>0</v>
      </c>
      <c r="I122" s="179">
        <f t="shared" si="9"/>
        <v>0.61360000000000003</v>
      </c>
      <c r="J122" s="76">
        <v>44299</v>
      </c>
      <c r="K122" s="76">
        <v>44293</v>
      </c>
      <c r="L122" s="244">
        <f t="shared" si="10"/>
        <v>6</v>
      </c>
      <c r="M122" s="363">
        <v>9.1499999999999998E-2</v>
      </c>
      <c r="N122" s="291">
        <f t="shared" si="17"/>
        <v>0</v>
      </c>
    </row>
    <row r="123" spans="1:14" ht="17.25" customHeight="1" x14ac:dyDescent="0.25">
      <c r="A123" s="292">
        <v>1</v>
      </c>
      <c r="B123" s="73" t="s">
        <v>84</v>
      </c>
      <c r="C123" s="72">
        <v>51.8</v>
      </c>
      <c r="D123" s="179">
        <f t="shared" si="16"/>
        <v>51.8</v>
      </c>
      <c r="E123" s="179">
        <f>C123*100%</f>
        <v>51.8</v>
      </c>
      <c r="F123" s="75">
        <v>0</v>
      </c>
      <c r="G123" s="75">
        <v>0</v>
      </c>
      <c r="H123" s="179">
        <f t="shared" si="15"/>
        <v>0</v>
      </c>
      <c r="I123" s="179">
        <f t="shared" ref="I123:I143" si="18">C123*8%</f>
        <v>4.1440000000000001</v>
      </c>
      <c r="J123" s="76">
        <v>44299</v>
      </c>
      <c r="K123" s="76">
        <v>44293</v>
      </c>
      <c r="L123" s="244">
        <f t="shared" ref="L123:L143" si="19">J123-K123</f>
        <v>6</v>
      </c>
      <c r="M123" s="363">
        <v>9.1499999999999998E-2</v>
      </c>
      <c r="N123" s="291">
        <f t="shared" si="17"/>
        <v>0</v>
      </c>
    </row>
    <row r="124" spans="1:14" ht="17.25" customHeight="1" x14ac:dyDescent="0.25">
      <c r="A124" s="292">
        <v>1</v>
      </c>
      <c r="B124" s="73" t="s">
        <v>85</v>
      </c>
      <c r="C124" s="72">
        <v>6.31</v>
      </c>
      <c r="D124" s="179">
        <f t="shared" si="16"/>
        <v>6.31</v>
      </c>
      <c r="E124" s="179">
        <f>C124*100%</f>
        <v>6.31</v>
      </c>
      <c r="F124" s="75">
        <v>0</v>
      </c>
      <c r="G124" s="75">
        <v>0</v>
      </c>
      <c r="H124" s="179">
        <f t="shared" si="15"/>
        <v>0</v>
      </c>
      <c r="I124" s="179">
        <f t="shared" si="18"/>
        <v>0.50480000000000003</v>
      </c>
      <c r="J124" s="76">
        <v>44299</v>
      </c>
      <c r="K124" s="76">
        <v>44293</v>
      </c>
      <c r="L124" s="244">
        <f t="shared" si="19"/>
        <v>6</v>
      </c>
      <c r="M124" s="363">
        <v>9.1499999999999998E-2</v>
      </c>
      <c r="N124" s="291">
        <f t="shared" si="17"/>
        <v>0</v>
      </c>
    </row>
    <row r="125" spans="1:14" ht="17.25" customHeight="1" x14ac:dyDescent="0.25">
      <c r="A125" s="292">
        <v>1</v>
      </c>
      <c r="B125" s="73" t="s">
        <v>87</v>
      </c>
      <c r="C125" s="72">
        <v>0.72</v>
      </c>
      <c r="D125" s="179">
        <f t="shared" si="16"/>
        <v>0.72</v>
      </c>
      <c r="E125" s="179">
        <f t="shared" ref="E125:E131" si="20">C125*100%</f>
        <v>0.72</v>
      </c>
      <c r="F125" s="75">
        <v>0</v>
      </c>
      <c r="G125" s="75">
        <v>0</v>
      </c>
      <c r="H125" s="179">
        <f t="shared" si="15"/>
        <v>0</v>
      </c>
      <c r="I125" s="179">
        <f t="shared" si="18"/>
        <v>5.7599999999999998E-2</v>
      </c>
      <c r="J125" s="76">
        <v>44299</v>
      </c>
      <c r="K125" s="76">
        <v>44293</v>
      </c>
      <c r="L125" s="244">
        <f t="shared" si="19"/>
        <v>6</v>
      </c>
      <c r="M125" s="363">
        <v>9.1499999999999998E-2</v>
      </c>
      <c r="N125" s="291">
        <f t="shared" si="17"/>
        <v>0</v>
      </c>
    </row>
    <row r="126" spans="1:14" ht="17.25" customHeight="1" x14ac:dyDescent="0.25">
      <c r="A126" s="292">
        <v>1</v>
      </c>
      <c r="B126" s="73" t="s">
        <v>88</v>
      </c>
      <c r="C126" s="72">
        <v>102.54</v>
      </c>
      <c r="D126" s="179">
        <f t="shared" si="16"/>
        <v>102.54</v>
      </c>
      <c r="E126" s="179">
        <f t="shared" si="20"/>
        <v>102.54</v>
      </c>
      <c r="F126" s="75">
        <v>0</v>
      </c>
      <c r="G126" s="75">
        <v>0</v>
      </c>
      <c r="H126" s="179">
        <f t="shared" si="15"/>
        <v>0</v>
      </c>
      <c r="I126" s="179">
        <f t="shared" si="18"/>
        <v>8.2032000000000007</v>
      </c>
      <c r="J126" s="76">
        <v>44299</v>
      </c>
      <c r="K126" s="76">
        <v>44293</v>
      </c>
      <c r="L126" s="244">
        <f t="shared" si="19"/>
        <v>6</v>
      </c>
      <c r="M126" s="363">
        <v>9.1499999999999998E-2</v>
      </c>
      <c r="N126" s="291">
        <f t="shared" si="17"/>
        <v>0</v>
      </c>
    </row>
    <row r="127" spans="1:14" ht="17.25" customHeight="1" x14ac:dyDescent="0.25">
      <c r="A127" s="292">
        <v>1</v>
      </c>
      <c r="B127" s="73" t="s">
        <v>89</v>
      </c>
      <c r="C127" s="72">
        <v>54.92</v>
      </c>
      <c r="D127" s="179">
        <f t="shared" si="16"/>
        <v>54.92</v>
      </c>
      <c r="E127" s="179">
        <f t="shared" si="20"/>
        <v>54.92</v>
      </c>
      <c r="F127" s="75">
        <v>0</v>
      </c>
      <c r="G127" s="75">
        <v>0</v>
      </c>
      <c r="H127" s="179">
        <f t="shared" si="15"/>
        <v>0</v>
      </c>
      <c r="I127" s="179">
        <f t="shared" si="18"/>
        <v>4.3936000000000002</v>
      </c>
      <c r="J127" s="76">
        <v>44299</v>
      </c>
      <c r="K127" s="76">
        <v>44293</v>
      </c>
      <c r="L127" s="244">
        <f t="shared" si="19"/>
        <v>6</v>
      </c>
      <c r="M127" s="363">
        <v>9.1499999999999998E-2</v>
      </c>
      <c r="N127" s="291">
        <f t="shared" si="17"/>
        <v>0</v>
      </c>
    </row>
    <row r="128" spans="1:14" ht="17.25" customHeight="1" x14ac:dyDescent="0.25">
      <c r="A128" s="292">
        <v>1</v>
      </c>
      <c r="B128" s="73" t="s">
        <v>113</v>
      </c>
      <c r="C128" s="72">
        <v>770.76</v>
      </c>
      <c r="D128" s="179">
        <f t="shared" si="16"/>
        <v>770.76</v>
      </c>
      <c r="E128" s="179">
        <f t="shared" si="20"/>
        <v>770.76</v>
      </c>
      <c r="F128" s="75">
        <v>0</v>
      </c>
      <c r="G128" s="75">
        <v>0</v>
      </c>
      <c r="H128" s="179">
        <f t="shared" si="15"/>
        <v>0</v>
      </c>
      <c r="I128" s="179">
        <f t="shared" si="18"/>
        <v>61.660800000000002</v>
      </c>
      <c r="J128" s="76">
        <v>44302</v>
      </c>
      <c r="K128" s="76">
        <v>44293</v>
      </c>
      <c r="L128" s="244">
        <f t="shared" si="19"/>
        <v>9</v>
      </c>
      <c r="M128" s="363">
        <v>9.1499999999999998E-2</v>
      </c>
      <c r="N128" s="291">
        <f t="shared" si="17"/>
        <v>0</v>
      </c>
    </row>
    <row r="129" spans="1:14" ht="17.25" customHeight="1" x14ac:dyDescent="0.25">
      <c r="A129" s="292">
        <v>1</v>
      </c>
      <c r="B129" s="73" t="s">
        <v>90</v>
      </c>
      <c r="C129" s="72">
        <v>6.65</v>
      </c>
      <c r="D129" s="179">
        <f t="shared" si="16"/>
        <v>6.65</v>
      </c>
      <c r="E129" s="179">
        <f t="shared" si="20"/>
        <v>6.65</v>
      </c>
      <c r="F129" s="75">
        <v>0</v>
      </c>
      <c r="G129" s="75">
        <v>0</v>
      </c>
      <c r="H129" s="179">
        <f t="shared" si="15"/>
        <v>0</v>
      </c>
      <c r="I129" s="179">
        <f t="shared" si="18"/>
        <v>0.53200000000000003</v>
      </c>
      <c r="J129" s="76">
        <v>44299</v>
      </c>
      <c r="K129" s="76">
        <v>44293</v>
      </c>
      <c r="L129" s="244">
        <f t="shared" si="19"/>
        <v>6</v>
      </c>
      <c r="M129" s="363">
        <v>9.1499999999999998E-2</v>
      </c>
      <c r="N129" s="291">
        <f t="shared" si="17"/>
        <v>0</v>
      </c>
    </row>
    <row r="130" spans="1:14" ht="17.25" customHeight="1" x14ac:dyDescent="0.25">
      <c r="A130" s="292">
        <v>1</v>
      </c>
      <c r="B130" s="73" t="s">
        <v>91</v>
      </c>
      <c r="C130" s="72">
        <v>2.84</v>
      </c>
      <c r="D130" s="179">
        <f t="shared" si="16"/>
        <v>2.84</v>
      </c>
      <c r="E130" s="179">
        <f t="shared" si="20"/>
        <v>2.84</v>
      </c>
      <c r="F130" s="75">
        <v>0</v>
      </c>
      <c r="G130" s="75">
        <v>0</v>
      </c>
      <c r="H130" s="179">
        <f t="shared" si="15"/>
        <v>0</v>
      </c>
      <c r="I130" s="179">
        <f t="shared" si="18"/>
        <v>0.22719999999999999</v>
      </c>
      <c r="J130" s="76">
        <v>44299</v>
      </c>
      <c r="K130" s="76">
        <v>44293</v>
      </c>
      <c r="L130" s="244">
        <f t="shared" si="19"/>
        <v>6</v>
      </c>
      <c r="M130" s="363">
        <v>9.1499999999999998E-2</v>
      </c>
      <c r="N130" s="291">
        <f t="shared" si="17"/>
        <v>0</v>
      </c>
    </row>
    <row r="131" spans="1:14" ht="17.25" customHeight="1" x14ac:dyDescent="0.25">
      <c r="A131" s="292">
        <v>1</v>
      </c>
      <c r="B131" s="73" t="s">
        <v>93</v>
      </c>
      <c r="C131" s="72">
        <v>51.27</v>
      </c>
      <c r="D131" s="179">
        <f t="shared" si="16"/>
        <v>51.27</v>
      </c>
      <c r="E131" s="179">
        <f t="shared" si="20"/>
        <v>51.27</v>
      </c>
      <c r="F131" s="75">
        <v>0</v>
      </c>
      <c r="G131" s="75">
        <v>0</v>
      </c>
      <c r="H131" s="179">
        <f t="shared" si="15"/>
        <v>0</v>
      </c>
      <c r="I131" s="179">
        <f t="shared" si="18"/>
        <v>4.1016000000000004</v>
      </c>
      <c r="J131" s="76">
        <v>44299</v>
      </c>
      <c r="K131" s="76">
        <v>44293</v>
      </c>
      <c r="L131" s="244">
        <f t="shared" si="19"/>
        <v>6</v>
      </c>
      <c r="M131" s="363">
        <v>9.1499999999999998E-2</v>
      </c>
      <c r="N131" s="291">
        <f t="shared" si="17"/>
        <v>0</v>
      </c>
    </row>
    <row r="132" spans="1:14" ht="17.25" customHeight="1" x14ac:dyDescent="0.25">
      <c r="A132" s="494">
        <v>1</v>
      </c>
      <c r="B132" s="495" t="s">
        <v>94</v>
      </c>
      <c r="C132" s="496">
        <v>2738.71</v>
      </c>
      <c r="D132" s="497">
        <f t="shared" si="16"/>
        <v>2738.71</v>
      </c>
      <c r="E132" s="179">
        <v>0</v>
      </c>
      <c r="F132" s="75">
        <f>ROUND(D132*40%,2)</f>
        <v>1095.48</v>
      </c>
      <c r="G132" s="75">
        <v>0</v>
      </c>
      <c r="H132" s="497">
        <f t="shared" si="15"/>
        <v>0</v>
      </c>
      <c r="I132" s="179">
        <f t="shared" si="18"/>
        <v>219.0968</v>
      </c>
      <c r="J132" s="76">
        <v>44305</v>
      </c>
      <c r="K132" s="76">
        <v>44293</v>
      </c>
      <c r="L132" s="244">
        <f t="shared" si="19"/>
        <v>12</v>
      </c>
      <c r="M132" s="363">
        <v>9.1499999999999998E-2</v>
      </c>
      <c r="N132" s="291">
        <f t="shared" si="17"/>
        <v>0</v>
      </c>
    </row>
    <row r="133" spans="1:14" ht="17.25" customHeight="1" x14ac:dyDescent="0.25">
      <c r="A133" s="494"/>
      <c r="B133" s="495"/>
      <c r="C133" s="496"/>
      <c r="D133" s="497"/>
      <c r="E133" s="179">
        <v>0</v>
      </c>
      <c r="F133" s="75">
        <v>0</v>
      </c>
      <c r="G133" s="75">
        <f>D132-F132</f>
        <v>1643.23</v>
      </c>
      <c r="H133" s="497"/>
      <c r="I133" s="179">
        <f t="shared" si="18"/>
        <v>0</v>
      </c>
      <c r="J133" s="76">
        <v>44308</v>
      </c>
      <c r="K133" s="76">
        <v>44293</v>
      </c>
      <c r="L133" s="244">
        <f t="shared" si="19"/>
        <v>15</v>
      </c>
      <c r="M133" s="363">
        <v>9.1499999999999998E-2</v>
      </c>
      <c r="N133" s="291">
        <f t="shared" si="17"/>
        <v>0</v>
      </c>
    </row>
    <row r="134" spans="1:14" ht="17.25" customHeight="1" x14ac:dyDescent="0.25">
      <c r="A134" s="494">
        <v>1</v>
      </c>
      <c r="B134" s="495" t="s">
        <v>95</v>
      </c>
      <c r="C134" s="496">
        <v>1533.01</v>
      </c>
      <c r="D134" s="497">
        <f t="shared" si="16"/>
        <v>1533.01</v>
      </c>
      <c r="E134" s="179">
        <v>0</v>
      </c>
      <c r="F134" s="75">
        <f>ROUND(D134*40%,2)</f>
        <v>613.20000000000005</v>
      </c>
      <c r="G134" s="75">
        <v>0</v>
      </c>
      <c r="H134" s="497">
        <f t="shared" ref="H134:H143" si="21">C134-D134</f>
        <v>0</v>
      </c>
      <c r="I134" s="179">
        <f t="shared" si="18"/>
        <v>122.6408</v>
      </c>
      <c r="J134" s="76">
        <v>44305</v>
      </c>
      <c r="K134" s="76">
        <v>44293</v>
      </c>
      <c r="L134" s="244">
        <f t="shared" si="19"/>
        <v>12</v>
      </c>
      <c r="M134" s="363">
        <v>9.1499999999999998E-2</v>
      </c>
      <c r="N134" s="291">
        <f t="shared" si="17"/>
        <v>0</v>
      </c>
    </row>
    <row r="135" spans="1:14" ht="17.25" customHeight="1" x14ac:dyDescent="0.25">
      <c r="A135" s="494"/>
      <c r="B135" s="495"/>
      <c r="C135" s="496"/>
      <c r="D135" s="497"/>
      <c r="E135" s="179">
        <v>0</v>
      </c>
      <c r="F135" s="75">
        <v>0</v>
      </c>
      <c r="G135" s="75">
        <f>D134-F134</f>
        <v>919.81</v>
      </c>
      <c r="H135" s="497"/>
      <c r="I135" s="179">
        <f t="shared" si="18"/>
        <v>0</v>
      </c>
      <c r="J135" s="76">
        <v>44308</v>
      </c>
      <c r="K135" s="76">
        <v>44293</v>
      </c>
      <c r="L135" s="244">
        <f t="shared" si="19"/>
        <v>15</v>
      </c>
      <c r="M135" s="363">
        <v>9.1499999999999998E-2</v>
      </c>
      <c r="N135" s="291">
        <f t="shared" si="17"/>
        <v>0</v>
      </c>
    </row>
    <row r="136" spans="1:14" ht="17.25" customHeight="1" x14ac:dyDescent="0.25">
      <c r="A136" s="292">
        <v>1</v>
      </c>
      <c r="B136" s="77" t="s">
        <v>15</v>
      </c>
      <c r="C136" s="72">
        <v>5.62</v>
      </c>
      <c r="D136" s="179">
        <f>ROUND(C136*A136,2)</f>
        <v>5.62</v>
      </c>
      <c r="E136" s="179">
        <f>C136*100%</f>
        <v>5.62</v>
      </c>
      <c r="F136" s="75">
        <v>0</v>
      </c>
      <c r="G136" s="75">
        <v>0</v>
      </c>
      <c r="H136" s="179">
        <f>C136-D136</f>
        <v>0</v>
      </c>
      <c r="I136" s="179">
        <f t="shared" si="18"/>
        <v>0.4496</v>
      </c>
      <c r="J136" s="76">
        <v>44299</v>
      </c>
      <c r="K136" s="76">
        <v>44293</v>
      </c>
      <c r="L136" s="244">
        <f t="shared" si="19"/>
        <v>6</v>
      </c>
      <c r="M136" s="363">
        <v>9.1499999999999998E-2</v>
      </c>
      <c r="N136" s="291">
        <f t="shared" si="17"/>
        <v>0</v>
      </c>
    </row>
    <row r="137" spans="1:14" ht="17.25" customHeight="1" x14ac:dyDescent="0.25">
      <c r="A137" s="292">
        <v>1</v>
      </c>
      <c r="B137" s="73" t="s">
        <v>96</v>
      </c>
      <c r="C137" s="72">
        <v>0.53</v>
      </c>
      <c r="D137" s="179">
        <f t="shared" si="16"/>
        <v>0.53</v>
      </c>
      <c r="E137" s="179">
        <f>C137*100%</f>
        <v>0.53</v>
      </c>
      <c r="F137" s="75">
        <v>0</v>
      </c>
      <c r="G137" s="75">
        <v>0</v>
      </c>
      <c r="H137" s="179">
        <f t="shared" si="21"/>
        <v>0</v>
      </c>
      <c r="I137" s="179">
        <f t="shared" si="18"/>
        <v>4.24E-2</v>
      </c>
      <c r="J137" s="76">
        <v>44299</v>
      </c>
      <c r="K137" s="76">
        <v>44293</v>
      </c>
      <c r="L137" s="244">
        <f t="shared" si="19"/>
        <v>6</v>
      </c>
      <c r="M137" s="363">
        <v>9.1499999999999998E-2</v>
      </c>
      <c r="N137" s="291">
        <f t="shared" si="17"/>
        <v>0</v>
      </c>
    </row>
    <row r="138" spans="1:14" ht="17.25" customHeight="1" x14ac:dyDescent="0.25">
      <c r="A138" s="292">
        <v>1</v>
      </c>
      <c r="B138" s="73" t="s">
        <v>98</v>
      </c>
      <c r="C138" s="72">
        <v>2275.14</v>
      </c>
      <c r="D138" s="179">
        <f t="shared" si="16"/>
        <v>2275.14</v>
      </c>
      <c r="E138" s="179">
        <f>C138*100%</f>
        <v>2275.14</v>
      </c>
      <c r="F138" s="75">
        <v>0</v>
      </c>
      <c r="G138" s="75">
        <v>0</v>
      </c>
      <c r="H138" s="179">
        <f t="shared" si="21"/>
        <v>0</v>
      </c>
      <c r="I138" s="179">
        <f t="shared" si="18"/>
        <v>182.0112</v>
      </c>
      <c r="J138" s="76">
        <v>44308</v>
      </c>
      <c r="K138" s="76">
        <v>44293</v>
      </c>
      <c r="L138" s="244">
        <f t="shared" si="19"/>
        <v>15</v>
      </c>
      <c r="M138" s="363">
        <v>9.1499999999999998E-2</v>
      </c>
      <c r="N138" s="291">
        <f t="shared" si="17"/>
        <v>0</v>
      </c>
    </row>
    <row r="139" spans="1:14" ht="17.25" customHeight="1" x14ac:dyDescent="0.25">
      <c r="A139" s="494">
        <v>1</v>
      </c>
      <c r="B139" s="495" t="s">
        <v>99</v>
      </c>
      <c r="C139" s="496">
        <v>1533.01</v>
      </c>
      <c r="D139" s="497">
        <f t="shared" si="16"/>
        <v>1533.01</v>
      </c>
      <c r="E139" s="179">
        <v>0</v>
      </c>
      <c r="F139" s="75">
        <f>ROUND(D139*40%,2)</f>
        <v>613.20000000000005</v>
      </c>
      <c r="G139" s="75">
        <v>0</v>
      </c>
      <c r="H139" s="497">
        <f t="shared" si="21"/>
        <v>0</v>
      </c>
      <c r="I139" s="179">
        <f t="shared" si="18"/>
        <v>122.6408</v>
      </c>
      <c r="J139" s="76">
        <v>44305</v>
      </c>
      <c r="K139" s="76">
        <v>44293</v>
      </c>
      <c r="L139" s="244">
        <f t="shared" si="19"/>
        <v>12</v>
      </c>
      <c r="M139" s="363">
        <v>9.1499999999999998E-2</v>
      </c>
      <c r="N139" s="291">
        <f t="shared" si="17"/>
        <v>0</v>
      </c>
    </row>
    <row r="140" spans="1:14" ht="17.25" customHeight="1" x14ac:dyDescent="0.25">
      <c r="A140" s="494"/>
      <c r="B140" s="495"/>
      <c r="C140" s="496"/>
      <c r="D140" s="497"/>
      <c r="E140" s="179">
        <v>0</v>
      </c>
      <c r="F140" s="75">
        <v>0</v>
      </c>
      <c r="G140" s="75">
        <f>D139-F139</f>
        <v>919.81</v>
      </c>
      <c r="H140" s="497"/>
      <c r="I140" s="179">
        <f t="shared" si="18"/>
        <v>0</v>
      </c>
      <c r="J140" s="76">
        <v>44308</v>
      </c>
      <c r="K140" s="76">
        <v>44293</v>
      </c>
      <c r="L140" s="244">
        <f t="shared" si="19"/>
        <v>15</v>
      </c>
      <c r="M140" s="363">
        <v>9.1499999999999998E-2</v>
      </c>
      <c r="N140" s="291">
        <f t="shared" si="17"/>
        <v>0</v>
      </c>
    </row>
    <row r="141" spans="1:14" ht="17.25" customHeight="1" x14ac:dyDescent="0.25">
      <c r="A141" s="494">
        <v>1</v>
      </c>
      <c r="B141" s="495" t="s">
        <v>100</v>
      </c>
      <c r="C141" s="496">
        <v>1494.29</v>
      </c>
      <c r="D141" s="497">
        <f t="shared" si="16"/>
        <v>1494.29</v>
      </c>
      <c r="E141" s="179">
        <v>0</v>
      </c>
      <c r="F141" s="75">
        <f>ROUND(D141*40%,2)</f>
        <v>597.72</v>
      </c>
      <c r="G141" s="75">
        <v>0</v>
      </c>
      <c r="H141" s="497">
        <f t="shared" si="21"/>
        <v>0</v>
      </c>
      <c r="I141" s="179">
        <f t="shared" si="18"/>
        <v>119.5432</v>
      </c>
      <c r="J141" s="76">
        <v>44305</v>
      </c>
      <c r="K141" s="76">
        <v>44293</v>
      </c>
      <c r="L141" s="244">
        <f t="shared" si="19"/>
        <v>12</v>
      </c>
      <c r="M141" s="363">
        <v>9.1499999999999998E-2</v>
      </c>
      <c r="N141" s="291">
        <f t="shared" ref="N141:N143" si="22">SUM(H141)*M141</f>
        <v>0</v>
      </c>
    </row>
    <row r="142" spans="1:14" ht="17.25" customHeight="1" x14ac:dyDescent="0.25">
      <c r="A142" s="494"/>
      <c r="B142" s="495"/>
      <c r="C142" s="496"/>
      <c r="D142" s="497"/>
      <c r="E142" s="179">
        <v>0</v>
      </c>
      <c r="F142" s="75">
        <v>0</v>
      </c>
      <c r="G142" s="75">
        <f>D141-F141</f>
        <v>896.56999999999994</v>
      </c>
      <c r="H142" s="497"/>
      <c r="I142" s="179">
        <f t="shared" si="18"/>
        <v>0</v>
      </c>
      <c r="J142" s="76">
        <v>44308</v>
      </c>
      <c r="K142" s="76">
        <v>44293</v>
      </c>
      <c r="L142" s="244">
        <f t="shared" si="19"/>
        <v>15</v>
      </c>
      <c r="M142" s="363">
        <v>9.1499999999999998E-2</v>
      </c>
      <c r="N142" s="291">
        <f t="shared" si="22"/>
        <v>0</v>
      </c>
    </row>
    <row r="143" spans="1:14" ht="17.25" customHeight="1" x14ac:dyDescent="0.25">
      <c r="A143" s="292">
        <v>1</v>
      </c>
      <c r="B143" s="73" t="s">
        <v>101</v>
      </c>
      <c r="C143" s="72">
        <v>3.07</v>
      </c>
      <c r="D143" s="179">
        <f t="shared" si="16"/>
        <v>3.07</v>
      </c>
      <c r="E143" s="179">
        <f>C143*100%</f>
        <v>3.07</v>
      </c>
      <c r="F143" s="75">
        <v>0</v>
      </c>
      <c r="G143" s="75">
        <v>0</v>
      </c>
      <c r="H143" s="179">
        <f t="shared" si="21"/>
        <v>0</v>
      </c>
      <c r="I143" s="179">
        <f t="shared" si="18"/>
        <v>0.24559999999999998</v>
      </c>
      <c r="J143" s="76">
        <v>44299</v>
      </c>
      <c r="K143" s="76">
        <v>44293</v>
      </c>
      <c r="L143" s="244">
        <f t="shared" si="19"/>
        <v>6</v>
      </c>
      <c r="M143" s="363">
        <v>9.1499999999999998E-2</v>
      </c>
      <c r="N143" s="291">
        <f t="shared" si="22"/>
        <v>0</v>
      </c>
    </row>
    <row r="144" spans="1:14" ht="17.25" customHeight="1" x14ac:dyDescent="0.25">
      <c r="A144" s="294"/>
      <c r="B144" s="48" t="s">
        <v>162</v>
      </c>
      <c r="C144" s="181" t="e">
        <f>SUM(C55+C57+C59+C60+C61+C63+C64+C66+C67+C68+C69+C71+C73+C74+#REF!+C75+C76+C77+C78+C79+C81+C82+C83+C85+C86+C87+C88+C89+C90+C91+C92+C93+C94+C96+C98+C97+C107+C106+C105+#REF!+C103+C102+C101+C99+C108+C110+C111+C113+C115+C116+C117+C119+C120+C122+#REF!+C123+C124+#REF!+C125+C126+C127+C128+C129+C130+#REF!+C131+C132+C134+C136+C137+#REF!+C138+C139+C141+C143)</f>
        <v>#REF!</v>
      </c>
      <c r="D144" s="181"/>
      <c r="E144" s="181">
        <f>SUM(E55:E143)</f>
        <v>12090.630000000001</v>
      </c>
      <c r="F144" s="181">
        <f>SUM(F55:F143)</f>
        <v>14107.670000000004</v>
      </c>
      <c r="G144" s="181">
        <f>SUM(G55:G143)</f>
        <v>21161.530000000002</v>
      </c>
      <c r="H144" s="181"/>
      <c r="I144" s="181">
        <f>I55+I57+I59+I60+I61+I63+I64+I66+I67+I68+I69+I71+I73+I74+I75+I76+I77+I78+I79+I81+I82+I83+I77+I78+I78+I77+I79+I77+I78+I79+I81+I82+I83+I85+I86+I87+I87+I87+I88+I89+I90+I91+I92+I93+I94+I95+I96+I97+I98+I99+I100+I101+I102+I103+I104+I105+I106+I107+I108+I109+I110+I111+I112+I113+I115+I116+I117+I119+I120+I122+I123+I124+I125+I126+I127+I128+I129+I130+I131+I132+I133+I134+I136+I137+I138+I139+I141+I143</f>
        <v>4219.1343999999999</v>
      </c>
      <c r="J144" s="182"/>
      <c r="K144" s="182"/>
      <c r="L144" s="182"/>
      <c r="M144" s="403"/>
      <c r="N144" s="402">
        <f>SUM(N54:N143)</f>
        <v>0</v>
      </c>
    </row>
    <row r="145" spans="1:18" s="65" customFormat="1" ht="17.25" customHeight="1" x14ac:dyDescent="0.25">
      <c r="A145" s="295"/>
      <c r="B145" s="296" t="s">
        <v>103</v>
      </c>
      <c r="C145" s="297" t="e">
        <f>SUM(C144+C53+C25)</f>
        <v>#REF!</v>
      </c>
      <c r="D145" s="297"/>
      <c r="E145" s="297">
        <f>SUM(E144+E53+E25)</f>
        <v>20812.012500000001</v>
      </c>
      <c r="F145" s="297">
        <f>SUM(F144+F53+F25)</f>
        <v>32829.18</v>
      </c>
      <c r="G145" s="297">
        <f>SUM(G144+G53+G25)</f>
        <v>49243.770000000004</v>
      </c>
      <c r="H145" s="297">
        <f>H144+H53+H25</f>
        <v>22816.550000000003</v>
      </c>
      <c r="I145" s="298">
        <f>I144+I53+I25</f>
        <v>10486.468800000001</v>
      </c>
      <c r="J145" s="299"/>
      <c r="K145" s="299"/>
      <c r="L145" s="299"/>
      <c r="M145" s="404"/>
      <c r="N145" s="405">
        <f>SUM(N25+N53+N144)</f>
        <v>2087.7143249999999</v>
      </c>
      <c r="R145" s="191"/>
    </row>
    <row r="147" spans="1:18" x14ac:dyDescent="0.25">
      <c r="B147" s="166"/>
      <c r="C147" s="166"/>
      <c r="D147" s="166"/>
      <c r="E147" s="166"/>
      <c r="F147" s="166"/>
      <c r="G147" s="166"/>
      <c r="H147" s="166"/>
      <c r="I147" s="166"/>
      <c r="J147" s="67"/>
      <c r="K147" s="67"/>
      <c r="L147" s="67"/>
      <c r="M147" s="67"/>
      <c r="N147" s="67"/>
    </row>
    <row r="148" spans="1:18" x14ac:dyDescent="0.25">
      <c r="A148" s="498"/>
      <c r="B148" s="498"/>
      <c r="C148" s="498"/>
      <c r="D148" s="498"/>
      <c r="E148" s="498"/>
      <c r="F148" s="498"/>
      <c r="G148" s="498"/>
      <c r="H148" s="498"/>
      <c r="I148" s="498"/>
      <c r="J148" s="498"/>
      <c r="K148" s="498"/>
      <c r="L148" s="498"/>
      <c r="M148" s="498"/>
      <c r="N148" s="498"/>
    </row>
    <row r="149" spans="1:18" x14ac:dyDescent="0.25">
      <c r="A149" s="498"/>
      <c r="B149" s="498"/>
      <c r="C149" s="498"/>
      <c r="D149" s="498"/>
      <c r="E149" s="498"/>
      <c r="F149" s="498"/>
      <c r="G149" s="498"/>
      <c r="H149" s="498"/>
      <c r="I149" s="498"/>
      <c r="J149" s="498"/>
      <c r="K149" s="498"/>
      <c r="L149" s="498"/>
      <c r="M149" s="498"/>
      <c r="N149" s="498"/>
    </row>
    <row r="150" spans="1:18" x14ac:dyDescent="0.25">
      <c r="B150" s="97"/>
      <c r="C150" s="97"/>
      <c r="D150" s="97"/>
      <c r="E150" s="97"/>
      <c r="F150" s="97"/>
      <c r="G150" s="97"/>
      <c r="H150" s="97"/>
      <c r="I150" s="97"/>
    </row>
    <row r="151" spans="1:18" x14ac:dyDescent="0.25">
      <c r="B151" s="97"/>
      <c r="C151" s="97"/>
      <c r="D151" s="97"/>
      <c r="E151" s="97"/>
      <c r="F151" s="97"/>
      <c r="G151" s="97"/>
      <c r="H151" s="97"/>
      <c r="I151" s="97"/>
    </row>
    <row r="152" spans="1:18" x14ac:dyDescent="0.25">
      <c r="B152" s="97"/>
      <c r="C152" s="97"/>
      <c r="D152" s="97"/>
      <c r="E152" s="97"/>
      <c r="F152" s="97"/>
      <c r="G152" s="97"/>
      <c r="H152" s="97"/>
      <c r="I152" s="97"/>
    </row>
    <row r="153" spans="1:18" x14ac:dyDescent="0.25">
      <c r="B153" s="97"/>
      <c r="C153" s="97"/>
      <c r="D153" s="97"/>
      <c r="E153" s="97"/>
      <c r="F153" s="97"/>
      <c r="G153" s="97"/>
      <c r="H153" s="97"/>
      <c r="I153" s="97"/>
    </row>
    <row r="154" spans="1:18" x14ac:dyDescent="0.25">
      <c r="B154" s="167"/>
      <c r="C154" s="97"/>
      <c r="D154" s="97"/>
      <c r="E154" s="97"/>
      <c r="F154" s="167"/>
      <c r="G154" s="97"/>
      <c r="H154" s="167"/>
      <c r="I154" s="167"/>
    </row>
  </sheetData>
  <autoFilter ref="A4:N143" xr:uid="{00000000-0009-0000-0000-000000000000}"/>
  <mergeCells count="197">
    <mergeCell ref="A5:A6"/>
    <mergeCell ref="B5:B6"/>
    <mergeCell ref="C5:C6"/>
    <mergeCell ref="D5:D6"/>
    <mergeCell ref="H5:H6"/>
    <mergeCell ref="A9:A10"/>
    <mergeCell ref="B9:B10"/>
    <mergeCell ref="C9:C10"/>
    <mergeCell ref="D9:D10"/>
    <mergeCell ref="H9:H10"/>
    <mergeCell ref="A7:A8"/>
    <mergeCell ref="B7:B8"/>
    <mergeCell ref="C7:C8"/>
    <mergeCell ref="D7:D8"/>
    <mergeCell ref="H7:H8"/>
    <mergeCell ref="A13:A14"/>
    <mergeCell ref="B13:B14"/>
    <mergeCell ref="C13:C14"/>
    <mergeCell ref="D13:D14"/>
    <mergeCell ref="H13:H14"/>
    <mergeCell ref="A11:A12"/>
    <mergeCell ref="B11:B12"/>
    <mergeCell ref="C11:C12"/>
    <mergeCell ref="D11:D12"/>
    <mergeCell ref="H11:H12"/>
    <mergeCell ref="A19:A20"/>
    <mergeCell ref="B19:B20"/>
    <mergeCell ref="C19:C20"/>
    <mergeCell ref="D19:D20"/>
    <mergeCell ref="H19:H20"/>
    <mergeCell ref="A16:A17"/>
    <mergeCell ref="B16:B17"/>
    <mergeCell ref="C16:C17"/>
    <mergeCell ref="D16:D17"/>
    <mergeCell ref="H16:H17"/>
    <mergeCell ref="A23:A24"/>
    <mergeCell ref="B23:B24"/>
    <mergeCell ref="C23:C24"/>
    <mergeCell ref="D23:D24"/>
    <mergeCell ref="H23:H24"/>
    <mergeCell ref="A21:A22"/>
    <mergeCell ref="B21:B22"/>
    <mergeCell ref="C21:C22"/>
    <mergeCell ref="D21:D22"/>
    <mergeCell ref="H21:H22"/>
    <mergeCell ref="A31:A32"/>
    <mergeCell ref="B31:B32"/>
    <mergeCell ref="C31:C32"/>
    <mergeCell ref="D31:D32"/>
    <mergeCell ref="H31:H32"/>
    <mergeCell ref="A27:A28"/>
    <mergeCell ref="B27:B28"/>
    <mergeCell ref="C27:C28"/>
    <mergeCell ref="D27:D28"/>
    <mergeCell ref="H27:H28"/>
    <mergeCell ref="A36:A37"/>
    <mergeCell ref="B36:B37"/>
    <mergeCell ref="C36:C37"/>
    <mergeCell ref="D36:D37"/>
    <mergeCell ref="H36:H37"/>
    <mergeCell ref="A33:A34"/>
    <mergeCell ref="B33:B34"/>
    <mergeCell ref="C33:C34"/>
    <mergeCell ref="D33:D34"/>
    <mergeCell ref="H33:H34"/>
    <mergeCell ref="A41:A42"/>
    <mergeCell ref="B41:B42"/>
    <mergeCell ref="C41:C42"/>
    <mergeCell ref="D41:D42"/>
    <mergeCell ref="H41:H42"/>
    <mergeCell ref="A38:A39"/>
    <mergeCell ref="B38:B39"/>
    <mergeCell ref="C38:C39"/>
    <mergeCell ref="D38:D39"/>
    <mergeCell ref="H38:H39"/>
    <mergeCell ref="A45:A46"/>
    <mergeCell ref="B45:B46"/>
    <mergeCell ref="C45:C46"/>
    <mergeCell ref="D45:D46"/>
    <mergeCell ref="H45:H46"/>
    <mergeCell ref="A43:A44"/>
    <mergeCell ref="B43:B44"/>
    <mergeCell ref="C43:C44"/>
    <mergeCell ref="D43:D44"/>
    <mergeCell ref="H43:H44"/>
    <mergeCell ref="A49:A50"/>
    <mergeCell ref="B49:B50"/>
    <mergeCell ref="C49:C50"/>
    <mergeCell ref="D49:D50"/>
    <mergeCell ref="H49:H50"/>
    <mergeCell ref="A47:A48"/>
    <mergeCell ref="B47:B48"/>
    <mergeCell ref="C47:C48"/>
    <mergeCell ref="D47:D48"/>
    <mergeCell ref="H47:H48"/>
    <mergeCell ref="A55:A56"/>
    <mergeCell ref="B55:B56"/>
    <mergeCell ref="C55:C56"/>
    <mergeCell ref="D55:D56"/>
    <mergeCell ref="H55:H56"/>
    <mergeCell ref="A51:A52"/>
    <mergeCell ref="B51:B52"/>
    <mergeCell ref="C51:C52"/>
    <mergeCell ref="D51:D52"/>
    <mergeCell ref="H51:H52"/>
    <mergeCell ref="A61:A62"/>
    <mergeCell ref="B61:B62"/>
    <mergeCell ref="C61:C62"/>
    <mergeCell ref="D61:D62"/>
    <mergeCell ref="H61:H62"/>
    <mergeCell ref="A57:A58"/>
    <mergeCell ref="B57:B58"/>
    <mergeCell ref="C57:C58"/>
    <mergeCell ref="D57:D58"/>
    <mergeCell ref="H57:H58"/>
    <mergeCell ref="A69:A70"/>
    <mergeCell ref="B69:B70"/>
    <mergeCell ref="C69:C70"/>
    <mergeCell ref="D69:D70"/>
    <mergeCell ref="H69:H70"/>
    <mergeCell ref="A64:A65"/>
    <mergeCell ref="B64:B65"/>
    <mergeCell ref="C64:C65"/>
    <mergeCell ref="D64:D65"/>
    <mergeCell ref="H64:H65"/>
    <mergeCell ref="A71:A72"/>
    <mergeCell ref="B71:B72"/>
    <mergeCell ref="C71:C72"/>
    <mergeCell ref="D71:D72"/>
    <mergeCell ref="H71:H72"/>
    <mergeCell ref="A83:A84"/>
    <mergeCell ref="B83:B84"/>
    <mergeCell ref="C83:C84"/>
    <mergeCell ref="D83:D84"/>
    <mergeCell ref="H83:H84"/>
    <mergeCell ref="A79:A80"/>
    <mergeCell ref="B79:B80"/>
    <mergeCell ref="C79:C80"/>
    <mergeCell ref="D79:D80"/>
    <mergeCell ref="H79:H80"/>
    <mergeCell ref="H99:H100"/>
    <mergeCell ref="A103:A104"/>
    <mergeCell ref="B103:B104"/>
    <mergeCell ref="C103:C104"/>
    <mergeCell ref="D103:D104"/>
    <mergeCell ref="H103:H104"/>
    <mergeCell ref="C94:C95"/>
    <mergeCell ref="A99:A100"/>
    <mergeCell ref="B99:B100"/>
    <mergeCell ref="C99:C100"/>
    <mergeCell ref="D99:D100"/>
    <mergeCell ref="A111:A112"/>
    <mergeCell ref="B111:B112"/>
    <mergeCell ref="C111:C112"/>
    <mergeCell ref="D111:D112"/>
    <mergeCell ref="H111:H112"/>
    <mergeCell ref="A108:A109"/>
    <mergeCell ref="B108:B109"/>
    <mergeCell ref="C108:C109"/>
    <mergeCell ref="D108:D109"/>
    <mergeCell ref="H108:H109"/>
    <mergeCell ref="A117:A118"/>
    <mergeCell ref="B117:B118"/>
    <mergeCell ref="C117:C118"/>
    <mergeCell ref="D117:D118"/>
    <mergeCell ref="H117:H118"/>
    <mergeCell ref="A113:A114"/>
    <mergeCell ref="B113:B114"/>
    <mergeCell ref="C113:C114"/>
    <mergeCell ref="D113:D114"/>
    <mergeCell ref="H113:H114"/>
    <mergeCell ref="A120:A121"/>
    <mergeCell ref="B120:B121"/>
    <mergeCell ref="C120:C121"/>
    <mergeCell ref="D120:D121"/>
    <mergeCell ref="H120:H121"/>
    <mergeCell ref="A132:A133"/>
    <mergeCell ref="B132:B133"/>
    <mergeCell ref="C132:C133"/>
    <mergeCell ref="D132:D133"/>
    <mergeCell ref="H132:H133"/>
    <mergeCell ref="A134:A135"/>
    <mergeCell ref="B134:B135"/>
    <mergeCell ref="C134:C135"/>
    <mergeCell ref="D134:D135"/>
    <mergeCell ref="H134:H135"/>
    <mergeCell ref="A148:N149"/>
    <mergeCell ref="A141:A142"/>
    <mergeCell ref="B141:B142"/>
    <mergeCell ref="C141:C142"/>
    <mergeCell ref="D141:D142"/>
    <mergeCell ref="H141:H142"/>
    <mergeCell ref="A139:A140"/>
    <mergeCell ref="B139:B140"/>
    <mergeCell ref="C139:C140"/>
    <mergeCell ref="D139:D140"/>
    <mergeCell ref="H139:H140"/>
  </mergeCells>
  <pageMargins left="0.51181102362204722" right="0.51181102362204722" top="0.47244094488188981" bottom="0.47244094488188981" header="0.31496062992125984" footer="0.31496062992125984"/>
  <pageSetup paperSize="9" scale="6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AE4EC-2A49-4B89-B66B-313E13954308}">
  <sheetPr>
    <tabColor rgb="FF00B050"/>
    <pageSetUpPr fitToPage="1"/>
  </sheetPr>
  <dimension ref="A1:Q119"/>
  <sheetViews>
    <sheetView showGridLines="0" topLeftCell="A100" workbookViewId="0">
      <selection activeCell="J100" sqref="J1:K1048576"/>
    </sheetView>
  </sheetViews>
  <sheetFormatPr defaultRowHeight="15" x14ac:dyDescent="0.25"/>
  <cols>
    <col min="1" max="1" width="9.85546875" style="138" customWidth="1"/>
    <col min="2" max="2" width="44.7109375" style="138" bestFit="1" customWidth="1"/>
    <col min="3" max="3" width="13.7109375" style="90" customWidth="1"/>
    <col min="4" max="4" width="13.140625" style="100" customWidth="1"/>
    <col min="5" max="5" width="15.140625" style="100" customWidth="1"/>
    <col min="6" max="6" width="11" style="100" customWidth="1"/>
    <col min="7" max="7" width="11.85546875" style="138" hidden="1" customWidth="1"/>
    <col min="8" max="8" width="11.140625" style="138" hidden="1" customWidth="1"/>
    <col min="9" max="9" width="12.7109375" style="138" hidden="1" customWidth="1"/>
    <col min="10" max="10" width="13.5703125" style="138" hidden="1" customWidth="1"/>
    <col min="11" max="11" width="16.7109375" style="138" hidden="1" customWidth="1"/>
    <col min="12" max="16" width="9.140625" style="138" customWidth="1"/>
    <col min="17" max="17" width="12.7109375" style="138" bestFit="1" customWidth="1"/>
    <col min="18" max="16384" width="9.140625" style="138"/>
  </cols>
  <sheetData>
    <row r="1" spans="1:11" ht="15.75" x14ac:dyDescent="0.25">
      <c r="A1" s="194"/>
      <c r="B1" s="275" t="s">
        <v>141</v>
      </c>
      <c r="C1" s="265"/>
      <c r="D1" s="103"/>
      <c r="E1" s="104"/>
      <c r="F1" s="104"/>
      <c r="G1" s="105"/>
      <c r="H1" s="105"/>
      <c r="I1" s="105"/>
      <c r="J1" s="105"/>
      <c r="K1" s="105"/>
    </row>
    <row r="2" spans="1:11" ht="15.75" x14ac:dyDescent="0.25">
      <c r="A2" s="195"/>
      <c r="B2" s="276" t="s">
        <v>184</v>
      </c>
      <c r="C2" s="267"/>
      <c r="D2" s="11"/>
      <c r="E2" s="11"/>
      <c r="F2" s="11"/>
      <c r="G2" s="90"/>
      <c r="H2" s="90"/>
      <c r="I2" s="90"/>
      <c r="J2" s="90"/>
      <c r="K2" s="90"/>
    </row>
    <row r="3" spans="1:11" ht="15.75" x14ac:dyDescent="0.25">
      <c r="A3" s="196"/>
      <c r="B3" s="277" t="s">
        <v>202</v>
      </c>
      <c r="C3" s="269"/>
      <c r="D3" s="112"/>
      <c r="E3" s="112"/>
      <c r="F3" s="112"/>
      <c r="G3" s="113"/>
      <c r="H3" s="113"/>
      <c r="I3" s="113"/>
      <c r="J3" s="113"/>
      <c r="K3" s="113"/>
    </row>
    <row r="4" spans="1:11" s="139" customFormat="1" ht="43.5" customHeight="1" x14ac:dyDescent="0.25">
      <c r="A4" s="150" t="s">
        <v>143</v>
      </c>
      <c r="B4" s="151" t="s">
        <v>144</v>
      </c>
      <c r="C4" s="39" t="s">
        <v>140</v>
      </c>
      <c r="D4" s="38" t="s">
        <v>145</v>
      </c>
      <c r="E4" s="39" t="s">
        <v>146</v>
      </c>
      <c r="F4" s="39" t="s">
        <v>212</v>
      </c>
      <c r="G4" s="39" t="s">
        <v>147</v>
      </c>
      <c r="H4" s="39" t="s">
        <v>213</v>
      </c>
      <c r="I4" s="39" t="s">
        <v>214</v>
      </c>
      <c r="J4" s="361" t="s">
        <v>252</v>
      </c>
      <c r="K4" s="361" t="s">
        <v>256</v>
      </c>
    </row>
    <row r="5" spans="1:11" ht="16.5" customHeight="1" x14ac:dyDescent="0.25">
      <c r="A5" s="152">
        <v>0.65</v>
      </c>
      <c r="B5" s="154" t="s">
        <v>1</v>
      </c>
      <c r="C5" s="37">
        <v>3858.8</v>
      </c>
      <c r="D5" s="155">
        <f>ROUND(C5*A5,2)</f>
        <v>2508.2199999999998</v>
      </c>
      <c r="E5" s="37">
        <f>C5-D5</f>
        <v>1350.5800000000004</v>
      </c>
      <c r="F5" s="37">
        <f t="shared" ref="F5:F66" si="0">C5*8%</f>
        <v>308.70400000000001</v>
      </c>
      <c r="G5" s="40">
        <v>44328</v>
      </c>
      <c r="H5" s="40">
        <v>44323</v>
      </c>
      <c r="I5" s="233">
        <f t="shared" ref="I5:I59" si="1">G5-H5</f>
        <v>5</v>
      </c>
      <c r="J5" s="368">
        <v>8.9399999999999993E-2</v>
      </c>
      <c r="K5" s="364">
        <f t="shared" ref="K5:K18" si="2">SUM(E5)*J5</f>
        <v>120.74185200000002</v>
      </c>
    </row>
    <row r="6" spans="1:11" ht="16.5" customHeight="1" x14ac:dyDescent="0.25">
      <c r="A6" s="152">
        <v>0.65</v>
      </c>
      <c r="B6" s="153" t="s">
        <v>3</v>
      </c>
      <c r="C6" s="37">
        <v>3625.95</v>
      </c>
      <c r="D6" s="202">
        <v>2000</v>
      </c>
      <c r="E6" s="37">
        <f>C6-D7-D6</f>
        <v>1269.08</v>
      </c>
      <c r="F6" s="37">
        <f t="shared" si="0"/>
        <v>290.07599999999996</v>
      </c>
      <c r="G6" s="116">
        <v>44323</v>
      </c>
      <c r="H6" s="40">
        <v>44323</v>
      </c>
      <c r="I6" s="233">
        <v>0</v>
      </c>
      <c r="J6" s="368">
        <v>8.9399999999999993E-2</v>
      </c>
      <c r="K6" s="364">
        <f t="shared" si="2"/>
        <v>113.45575199999999</v>
      </c>
    </row>
    <row r="7" spans="1:11" ht="16.5" customHeight="1" x14ac:dyDescent="0.25">
      <c r="A7" s="152">
        <v>0.65</v>
      </c>
      <c r="B7" s="153" t="s">
        <v>3</v>
      </c>
      <c r="C7" s="37">
        <v>0</v>
      </c>
      <c r="D7" s="155">
        <f>ROUND(C6*A6,2)-2000</f>
        <v>356.86999999999989</v>
      </c>
      <c r="E7" s="37">
        <v>0</v>
      </c>
      <c r="F7" s="37">
        <f t="shared" si="0"/>
        <v>0</v>
      </c>
      <c r="G7" s="116">
        <v>44326</v>
      </c>
      <c r="H7" s="40">
        <v>44323</v>
      </c>
      <c r="I7" s="233">
        <f t="shared" si="1"/>
        <v>3</v>
      </c>
      <c r="J7" s="368">
        <v>8.9399999999999993E-2</v>
      </c>
      <c r="K7" s="364">
        <f t="shared" si="2"/>
        <v>0</v>
      </c>
    </row>
    <row r="8" spans="1:11" ht="16.5" customHeight="1" x14ac:dyDescent="0.25">
      <c r="A8" s="152">
        <v>0.65</v>
      </c>
      <c r="B8" s="154" t="s">
        <v>4</v>
      </c>
      <c r="C8" s="37">
        <v>4300.2</v>
      </c>
      <c r="D8" s="155">
        <f t="shared" ref="D8:D68" si="3">ROUND(C8*A8,2)</f>
        <v>2795.13</v>
      </c>
      <c r="E8" s="37">
        <f t="shared" ref="E8:E65" si="4">C8-D8</f>
        <v>1505.0699999999997</v>
      </c>
      <c r="F8" s="37">
        <f t="shared" si="0"/>
        <v>344.01600000000002</v>
      </c>
      <c r="G8" s="40">
        <v>44326</v>
      </c>
      <c r="H8" s="40">
        <v>44323</v>
      </c>
      <c r="I8" s="233">
        <f t="shared" si="1"/>
        <v>3</v>
      </c>
      <c r="J8" s="368">
        <v>8.9399999999999993E-2</v>
      </c>
      <c r="K8" s="364">
        <f t="shared" si="2"/>
        <v>134.55325799999997</v>
      </c>
    </row>
    <row r="9" spans="1:11" ht="16.5" customHeight="1" x14ac:dyDescent="0.25">
      <c r="A9" s="152">
        <v>0.65</v>
      </c>
      <c r="B9" s="153" t="s">
        <v>5</v>
      </c>
      <c r="C9" s="37">
        <v>4393.83</v>
      </c>
      <c r="D9" s="202">
        <v>2000</v>
      </c>
      <c r="E9" s="37">
        <f>C9-D10-D9</f>
        <v>1537.8400000000001</v>
      </c>
      <c r="F9" s="37">
        <f t="shared" si="0"/>
        <v>351.50639999999999</v>
      </c>
      <c r="G9" s="116">
        <v>44323</v>
      </c>
      <c r="H9" s="40">
        <v>44323</v>
      </c>
      <c r="I9" s="233">
        <f t="shared" si="1"/>
        <v>0</v>
      </c>
      <c r="J9" s="368">
        <v>8.9399999999999993E-2</v>
      </c>
      <c r="K9" s="364">
        <f t="shared" si="2"/>
        <v>137.48289600000001</v>
      </c>
    </row>
    <row r="10" spans="1:11" ht="16.5" customHeight="1" x14ac:dyDescent="0.25">
      <c r="A10" s="152">
        <v>0.65</v>
      </c>
      <c r="B10" s="153" t="s">
        <v>5</v>
      </c>
      <c r="C10" s="37">
        <v>0</v>
      </c>
      <c r="D10" s="155">
        <f>ROUND(C9*A9,2)-2000</f>
        <v>855.98999999999978</v>
      </c>
      <c r="E10" s="37">
        <v>0</v>
      </c>
      <c r="F10" s="37">
        <f t="shared" si="0"/>
        <v>0</v>
      </c>
      <c r="G10" s="116">
        <v>44326</v>
      </c>
      <c r="H10" s="40">
        <v>44323</v>
      </c>
      <c r="I10" s="233">
        <f t="shared" si="1"/>
        <v>3</v>
      </c>
      <c r="J10" s="368">
        <v>8.9399999999999993E-2</v>
      </c>
      <c r="K10" s="364">
        <f t="shared" si="2"/>
        <v>0</v>
      </c>
    </row>
    <row r="11" spans="1:11" ht="16.5" customHeight="1" x14ac:dyDescent="0.25">
      <c r="A11" s="152">
        <v>0.65</v>
      </c>
      <c r="B11" s="154" t="s">
        <v>6</v>
      </c>
      <c r="C11" s="37">
        <v>3357.95</v>
      </c>
      <c r="D11" s="202">
        <v>2000</v>
      </c>
      <c r="E11" s="37">
        <f>C11-D12-D11</f>
        <v>1175.2799999999997</v>
      </c>
      <c r="F11" s="37">
        <f t="shared" si="0"/>
        <v>268.63599999999997</v>
      </c>
      <c r="G11" s="40">
        <v>44323</v>
      </c>
      <c r="H11" s="40">
        <v>44323</v>
      </c>
      <c r="I11" s="233">
        <f t="shared" si="1"/>
        <v>0</v>
      </c>
      <c r="J11" s="368">
        <v>8.9399999999999993E-2</v>
      </c>
      <c r="K11" s="364">
        <f t="shared" si="2"/>
        <v>105.07003199999997</v>
      </c>
    </row>
    <row r="12" spans="1:11" ht="16.5" customHeight="1" x14ac:dyDescent="0.25">
      <c r="A12" s="152">
        <v>0.65</v>
      </c>
      <c r="B12" s="154" t="s">
        <v>6</v>
      </c>
      <c r="C12" s="37">
        <v>0</v>
      </c>
      <c r="D12" s="155">
        <f>ROUND(C11*A11,2)-D11</f>
        <v>182.67000000000007</v>
      </c>
      <c r="E12" s="37">
        <v>0</v>
      </c>
      <c r="F12" s="37">
        <f t="shared" si="0"/>
        <v>0</v>
      </c>
      <c r="G12" s="40">
        <v>44326</v>
      </c>
      <c r="H12" s="40">
        <v>44323</v>
      </c>
      <c r="I12" s="233">
        <f t="shared" si="1"/>
        <v>3</v>
      </c>
      <c r="J12" s="368">
        <v>8.9399999999999993E-2</v>
      </c>
      <c r="K12" s="364">
        <f t="shared" si="2"/>
        <v>0</v>
      </c>
    </row>
    <row r="13" spans="1:11" ht="16.5" customHeight="1" x14ac:dyDescent="0.25">
      <c r="A13" s="152">
        <v>0.65</v>
      </c>
      <c r="B13" s="154" t="s">
        <v>8</v>
      </c>
      <c r="C13" s="37">
        <v>3210.09</v>
      </c>
      <c r="D13" s="155">
        <v>0</v>
      </c>
      <c r="E13" s="37">
        <f>C13</f>
        <v>3210.09</v>
      </c>
      <c r="F13" s="37">
        <f t="shared" si="0"/>
        <v>256.80720000000002</v>
      </c>
      <c r="G13" s="40"/>
      <c r="H13" s="40">
        <v>44323</v>
      </c>
      <c r="I13" s="233"/>
      <c r="J13" s="368">
        <v>8.9399999999999993E-2</v>
      </c>
      <c r="K13" s="364">
        <f t="shared" si="2"/>
        <v>286.98204599999997</v>
      </c>
    </row>
    <row r="14" spans="1:11" ht="16.5" customHeight="1" x14ac:dyDescent="0.25">
      <c r="A14" s="152">
        <v>0.65</v>
      </c>
      <c r="B14" s="154" t="s">
        <v>9</v>
      </c>
      <c r="C14" s="37">
        <v>3842.33</v>
      </c>
      <c r="D14" s="155">
        <f t="shared" si="3"/>
        <v>2497.5100000000002</v>
      </c>
      <c r="E14" s="37">
        <f t="shared" si="4"/>
        <v>1344.8199999999997</v>
      </c>
      <c r="F14" s="37">
        <f t="shared" si="0"/>
        <v>307.38639999999998</v>
      </c>
      <c r="G14" s="40">
        <v>44327</v>
      </c>
      <c r="H14" s="40">
        <v>44323</v>
      </c>
      <c r="I14" s="233">
        <f t="shared" si="1"/>
        <v>4</v>
      </c>
      <c r="J14" s="368">
        <v>8.9399999999999993E-2</v>
      </c>
      <c r="K14" s="364">
        <f t="shared" si="2"/>
        <v>120.22690799999997</v>
      </c>
    </row>
    <row r="15" spans="1:11" ht="16.5" customHeight="1" x14ac:dyDescent="0.25">
      <c r="A15" s="152">
        <v>0.65</v>
      </c>
      <c r="B15" s="154" t="s">
        <v>11</v>
      </c>
      <c r="C15" s="37">
        <v>2214.96</v>
      </c>
      <c r="D15" s="155">
        <v>0</v>
      </c>
      <c r="E15" s="37">
        <f>C15</f>
        <v>2214.96</v>
      </c>
      <c r="F15" s="37">
        <f t="shared" si="0"/>
        <v>177.1968</v>
      </c>
      <c r="G15" s="40"/>
      <c r="H15" s="40">
        <v>44323</v>
      </c>
      <c r="I15" s="233"/>
      <c r="J15" s="368">
        <v>8.9399999999999993E-2</v>
      </c>
      <c r="K15" s="364">
        <f t="shared" si="2"/>
        <v>198.01742399999998</v>
      </c>
    </row>
    <row r="16" spans="1:11" ht="16.5" customHeight="1" x14ac:dyDescent="0.25">
      <c r="A16" s="152">
        <v>0.65</v>
      </c>
      <c r="B16" s="154" t="s">
        <v>12</v>
      </c>
      <c r="C16" s="37">
        <v>1309.07</v>
      </c>
      <c r="D16" s="155">
        <f>ROUND(C16*A16,2)</f>
        <v>850.9</v>
      </c>
      <c r="E16" s="37">
        <f>C16-D16</f>
        <v>458.16999999999996</v>
      </c>
      <c r="F16" s="37">
        <f t="shared" si="0"/>
        <v>104.7256</v>
      </c>
      <c r="G16" s="40">
        <v>44327</v>
      </c>
      <c r="H16" s="40">
        <v>44323</v>
      </c>
      <c r="I16" s="233">
        <f t="shared" si="1"/>
        <v>4</v>
      </c>
      <c r="J16" s="368">
        <v>8.9399999999999993E-2</v>
      </c>
      <c r="K16" s="364">
        <f t="shared" si="2"/>
        <v>40.960397999999991</v>
      </c>
    </row>
    <row r="17" spans="1:17" ht="16.5" customHeight="1" x14ac:dyDescent="0.25">
      <c r="A17" s="152">
        <v>0.65</v>
      </c>
      <c r="B17" s="154" t="s">
        <v>13</v>
      </c>
      <c r="C17" s="37">
        <v>2796.19</v>
      </c>
      <c r="D17" s="155">
        <f t="shared" si="3"/>
        <v>1817.52</v>
      </c>
      <c r="E17" s="37">
        <f t="shared" si="4"/>
        <v>978.67000000000007</v>
      </c>
      <c r="F17" s="37">
        <f t="shared" si="0"/>
        <v>223.6952</v>
      </c>
      <c r="G17" s="40">
        <v>44327</v>
      </c>
      <c r="H17" s="40">
        <v>44323</v>
      </c>
      <c r="I17" s="233">
        <f t="shared" si="1"/>
        <v>4</v>
      </c>
      <c r="J17" s="368">
        <v>8.9399999999999993E-2</v>
      </c>
      <c r="K17" s="364">
        <f t="shared" si="2"/>
        <v>87.493098000000003</v>
      </c>
    </row>
    <row r="18" spans="1:17" ht="16.5" customHeight="1" x14ac:dyDescent="0.25">
      <c r="A18" s="152">
        <v>0.65</v>
      </c>
      <c r="B18" s="154" t="s">
        <v>104</v>
      </c>
      <c r="C18" s="37">
        <v>1906.97</v>
      </c>
      <c r="D18" s="155">
        <f t="shared" si="3"/>
        <v>1239.53</v>
      </c>
      <c r="E18" s="37">
        <f t="shared" si="4"/>
        <v>667.44</v>
      </c>
      <c r="F18" s="37">
        <f t="shared" si="0"/>
        <v>152.55760000000001</v>
      </c>
      <c r="G18" s="40">
        <v>44326</v>
      </c>
      <c r="H18" s="40">
        <v>44323</v>
      </c>
      <c r="I18" s="233">
        <f t="shared" si="1"/>
        <v>3</v>
      </c>
      <c r="J18" s="368">
        <v>8.9399999999999993E-2</v>
      </c>
      <c r="K18" s="364">
        <f t="shared" si="2"/>
        <v>59.669136000000002</v>
      </c>
    </row>
    <row r="19" spans="1:17" ht="16.5" customHeight="1" x14ac:dyDescent="0.25">
      <c r="A19" s="199"/>
      <c r="B19" s="46" t="s">
        <v>156</v>
      </c>
      <c r="C19" s="46">
        <f>SUM(C5:C18)</f>
        <v>34816.340000000004</v>
      </c>
      <c r="D19" s="46">
        <f>SUM(D5:D18)</f>
        <v>19104.339999999997</v>
      </c>
      <c r="E19" s="46">
        <f>SUM(E5:E18)</f>
        <v>15711.999999999998</v>
      </c>
      <c r="F19" s="46">
        <f t="shared" si="0"/>
        <v>2785.3072000000002</v>
      </c>
      <c r="G19" s="200"/>
      <c r="H19" s="200"/>
      <c r="I19" s="235"/>
      <c r="J19" s="365">
        <v>0</v>
      </c>
      <c r="K19" s="370">
        <f>SUM(K5:K18)</f>
        <v>1404.6527999999996</v>
      </c>
      <c r="Q19" s="144"/>
    </row>
    <row r="20" spans="1:17" ht="16.5" customHeight="1" x14ac:dyDescent="0.25">
      <c r="A20" s="152">
        <v>0.8</v>
      </c>
      <c r="B20" s="153" t="s">
        <v>19</v>
      </c>
      <c r="C20" s="37">
        <v>3138.56</v>
      </c>
      <c r="D20" s="155">
        <f>ROUND(C20*A20,2)</f>
        <v>2510.85</v>
      </c>
      <c r="E20" s="37">
        <f>C20-D20</f>
        <v>627.71</v>
      </c>
      <c r="F20" s="37">
        <f t="shared" si="0"/>
        <v>251.0848</v>
      </c>
      <c r="G20" s="40">
        <v>44326</v>
      </c>
      <c r="H20" s="40">
        <v>44323</v>
      </c>
      <c r="I20" s="233">
        <f t="shared" si="1"/>
        <v>3</v>
      </c>
      <c r="J20" s="369">
        <f>J18</f>
        <v>8.9399999999999993E-2</v>
      </c>
      <c r="K20" s="364">
        <f t="shared" ref="K20:K38" si="5">SUM(E20)*J20</f>
        <v>56.117274000000002</v>
      </c>
    </row>
    <row r="21" spans="1:17" ht="16.5" customHeight="1" x14ac:dyDescent="0.25">
      <c r="A21" s="152">
        <v>0.8</v>
      </c>
      <c r="B21" s="153" t="s">
        <v>20</v>
      </c>
      <c r="C21" s="37">
        <v>1589.23</v>
      </c>
      <c r="D21" s="155">
        <f>ROUND(C21*A21,2)</f>
        <v>1271.3800000000001</v>
      </c>
      <c r="E21" s="37">
        <f>C21-D21</f>
        <v>317.84999999999991</v>
      </c>
      <c r="F21" s="37">
        <f t="shared" si="0"/>
        <v>127.1384</v>
      </c>
      <c r="G21" s="116">
        <v>44330</v>
      </c>
      <c r="H21" s="40">
        <v>44323</v>
      </c>
      <c r="I21" s="233">
        <f t="shared" si="1"/>
        <v>7</v>
      </c>
      <c r="J21" s="369">
        <f t="shared" ref="J21:J38" si="6">J20</f>
        <v>8.9399999999999993E-2</v>
      </c>
      <c r="K21" s="364">
        <f t="shared" si="5"/>
        <v>28.415789999999991</v>
      </c>
    </row>
    <row r="22" spans="1:17" ht="16.5" customHeight="1" x14ac:dyDescent="0.25">
      <c r="A22" s="152">
        <v>0.8</v>
      </c>
      <c r="B22" s="153" t="s">
        <v>21</v>
      </c>
      <c r="C22" s="37">
        <v>1047.02</v>
      </c>
      <c r="D22" s="155">
        <f t="shared" ref="D22:D25" si="7">ROUND(C22*A22,2)</f>
        <v>837.62</v>
      </c>
      <c r="E22" s="37">
        <f t="shared" si="4"/>
        <v>209.39999999999998</v>
      </c>
      <c r="F22" s="37">
        <f t="shared" si="0"/>
        <v>83.761600000000001</v>
      </c>
      <c r="G22" s="116">
        <v>44322</v>
      </c>
      <c r="H22" s="40">
        <v>44323</v>
      </c>
      <c r="I22" s="233"/>
      <c r="J22" s="369">
        <f t="shared" si="6"/>
        <v>8.9399999999999993E-2</v>
      </c>
      <c r="K22" s="364">
        <f t="shared" si="5"/>
        <v>18.720359999999996</v>
      </c>
    </row>
    <row r="23" spans="1:17" ht="16.5" customHeight="1" x14ac:dyDescent="0.25">
      <c r="A23" s="152">
        <v>0.8</v>
      </c>
      <c r="B23" s="153" t="s">
        <v>22</v>
      </c>
      <c r="C23" s="37">
        <v>1263</v>
      </c>
      <c r="D23" s="155">
        <f t="shared" si="7"/>
        <v>1010.4</v>
      </c>
      <c r="E23" s="37">
        <f t="shared" si="4"/>
        <v>252.60000000000002</v>
      </c>
      <c r="F23" s="37">
        <f t="shared" si="0"/>
        <v>101.04</v>
      </c>
      <c r="G23" s="116">
        <v>44322</v>
      </c>
      <c r="H23" s="40">
        <v>44323</v>
      </c>
      <c r="I23" s="233"/>
      <c r="J23" s="369">
        <f t="shared" si="6"/>
        <v>8.9399999999999993E-2</v>
      </c>
      <c r="K23" s="364">
        <f t="shared" si="5"/>
        <v>22.582440000000002</v>
      </c>
    </row>
    <row r="24" spans="1:17" ht="16.5" customHeight="1" x14ac:dyDescent="0.25">
      <c r="A24" s="152">
        <v>0.8</v>
      </c>
      <c r="B24" s="153" t="s">
        <v>23</v>
      </c>
      <c r="C24" s="37">
        <v>3994.26</v>
      </c>
      <c r="D24" s="155">
        <f t="shared" si="7"/>
        <v>3195.41</v>
      </c>
      <c r="E24" s="37">
        <f t="shared" si="4"/>
        <v>798.85000000000036</v>
      </c>
      <c r="F24" s="37">
        <f t="shared" si="0"/>
        <v>319.54080000000005</v>
      </c>
      <c r="G24" s="116">
        <v>44326</v>
      </c>
      <c r="H24" s="40">
        <v>44323</v>
      </c>
      <c r="I24" s="233">
        <f t="shared" si="1"/>
        <v>3</v>
      </c>
      <c r="J24" s="369">
        <f t="shared" si="6"/>
        <v>8.9399999999999993E-2</v>
      </c>
      <c r="K24" s="364">
        <f t="shared" si="5"/>
        <v>71.417190000000033</v>
      </c>
    </row>
    <row r="25" spans="1:17" ht="16.5" customHeight="1" x14ac:dyDescent="0.25">
      <c r="A25" s="152">
        <v>0.8</v>
      </c>
      <c r="B25" s="154" t="s">
        <v>24</v>
      </c>
      <c r="C25" s="37">
        <v>742.12</v>
      </c>
      <c r="D25" s="155">
        <f t="shared" si="7"/>
        <v>593.70000000000005</v>
      </c>
      <c r="E25" s="37">
        <f t="shared" si="4"/>
        <v>148.41999999999996</v>
      </c>
      <c r="F25" s="37">
        <f t="shared" si="0"/>
        <v>59.369599999999998</v>
      </c>
      <c r="G25" s="116">
        <v>44328</v>
      </c>
      <c r="H25" s="40">
        <v>44323</v>
      </c>
      <c r="I25" s="233">
        <f t="shared" si="1"/>
        <v>5</v>
      </c>
      <c r="J25" s="369">
        <f t="shared" si="6"/>
        <v>8.9399999999999993E-2</v>
      </c>
      <c r="K25" s="364">
        <f t="shared" si="5"/>
        <v>13.268747999999995</v>
      </c>
    </row>
    <row r="26" spans="1:17" ht="16.5" customHeight="1" x14ac:dyDescent="0.25">
      <c r="A26" s="152">
        <v>0.8</v>
      </c>
      <c r="B26" s="153" t="s">
        <v>25</v>
      </c>
      <c r="C26" s="37">
        <v>7320.08</v>
      </c>
      <c r="D26" s="202">
        <v>3000</v>
      </c>
      <c r="E26" s="37">
        <f>C26-D27-D26</f>
        <v>1464.0199999999995</v>
      </c>
      <c r="F26" s="37">
        <f t="shared" si="0"/>
        <v>585.60640000000001</v>
      </c>
      <c r="G26" s="116">
        <v>44326</v>
      </c>
      <c r="H26" s="40">
        <v>44323</v>
      </c>
      <c r="I26" s="233">
        <f t="shared" si="1"/>
        <v>3</v>
      </c>
      <c r="J26" s="369">
        <f t="shared" si="6"/>
        <v>8.9399999999999993E-2</v>
      </c>
      <c r="K26" s="364">
        <f t="shared" si="5"/>
        <v>130.88338799999994</v>
      </c>
    </row>
    <row r="27" spans="1:17" ht="16.5" customHeight="1" x14ac:dyDescent="0.25">
      <c r="A27" s="152">
        <v>0.8</v>
      </c>
      <c r="B27" s="153" t="s">
        <v>25</v>
      </c>
      <c r="C27" s="37">
        <v>0</v>
      </c>
      <c r="D27" s="155">
        <f>ROUND(C26*A26,2)-3000</f>
        <v>2856.0600000000004</v>
      </c>
      <c r="E27" s="37">
        <v>0</v>
      </c>
      <c r="F27" s="37">
        <f t="shared" si="0"/>
        <v>0</v>
      </c>
      <c r="G27" s="116">
        <v>44327</v>
      </c>
      <c r="H27" s="40">
        <v>44323</v>
      </c>
      <c r="I27" s="233">
        <f t="shared" si="1"/>
        <v>4</v>
      </c>
      <c r="J27" s="369">
        <f t="shared" si="6"/>
        <v>8.9399999999999993E-2</v>
      </c>
      <c r="K27" s="364">
        <f t="shared" si="5"/>
        <v>0</v>
      </c>
    </row>
    <row r="28" spans="1:17" ht="16.5" customHeight="1" x14ac:dyDescent="0.25">
      <c r="A28" s="152">
        <v>0.8</v>
      </c>
      <c r="B28" s="153" t="s">
        <v>60</v>
      </c>
      <c r="C28" s="37">
        <v>1265.83</v>
      </c>
      <c r="D28" s="155">
        <f>ROUND(C28*A28,2)</f>
        <v>1012.66</v>
      </c>
      <c r="E28" s="37">
        <f>C28-D28</f>
        <v>253.16999999999996</v>
      </c>
      <c r="F28" s="37">
        <f t="shared" si="0"/>
        <v>101.26639999999999</v>
      </c>
      <c r="G28" s="116">
        <v>44322</v>
      </c>
      <c r="H28" s="40">
        <v>44323</v>
      </c>
      <c r="I28" s="233"/>
      <c r="J28" s="369">
        <f t="shared" si="6"/>
        <v>8.9399999999999993E-2</v>
      </c>
      <c r="K28" s="364">
        <f t="shared" si="5"/>
        <v>22.633397999999996</v>
      </c>
    </row>
    <row r="29" spans="1:17" ht="16.5" customHeight="1" x14ac:dyDescent="0.25">
      <c r="A29" s="152">
        <v>0.8</v>
      </c>
      <c r="B29" s="153" t="s">
        <v>26</v>
      </c>
      <c r="C29" s="37">
        <v>7274.18</v>
      </c>
      <c r="D29" s="202">
        <v>1500</v>
      </c>
      <c r="E29" s="37">
        <f>C29-D30-D29</f>
        <v>1454.8400000000001</v>
      </c>
      <c r="F29" s="37">
        <f t="shared" si="0"/>
        <v>581.93439999999998</v>
      </c>
      <c r="G29" s="116">
        <v>44327</v>
      </c>
      <c r="H29" s="40">
        <v>44323</v>
      </c>
      <c r="I29" s="233">
        <f t="shared" si="1"/>
        <v>4</v>
      </c>
      <c r="J29" s="369">
        <f t="shared" si="6"/>
        <v>8.9399999999999993E-2</v>
      </c>
      <c r="K29" s="364">
        <f t="shared" si="5"/>
        <v>130.06269600000002</v>
      </c>
    </row>
    <row r="30" spans="1:17" ht="16.5" customHeight="1" x14ac:dyDescent="0.25">
      <c r="A30" s="152">
        <v>0.8</v>
      </c>
      <c r="B30" s="153" t="s">
        <v>26</v>
      </c>
      <c r="C30" s="37">
        <v>0</v>
      </c>
      <c r="D30" s="155">
        <f>ROUND(C29*A29,2)-1500</f>
        <v>4319.34</v>
      </c>
      <c r="E30" s="37">
        <v>0</v>
      </c>
      <c r="F30" s="37">
        <f t="shared" si="0"/>
        <v>0</v>
      </c>
      <c r="G30" s="116">
        <v>44354</v>
      </c>
      <c r="H30" s="40">
        <v>44323</v>
      </c>
      <c r="I30" s="233">
        <f t="shared" si="1"/>
        <v>31</v>
      </c>
      <c r="J30" s="369">
        <f t="shared" si="6"/>
        <v>8.9399999999999993E-2</v>
      </c>
      <c r="K30" s="364">
        <f t="shared" si="5"/>
        <v>0</v>
      </c>
    </row>
    <row r="31" spans="1:17" ht="16.5" customHeight="1" x14ac:dyDescent="0.25">
      <c r="A31" s="152">
        <v>0.8</v>
      </c>
      <c r="B31" s="153" t="s">
        <v>27</v>
      </c>
      <c r="C31" s="37">
        <v>4351.84</v>
      </c>
      <c r="D31" s="202">
        <v>2000</v>
      </c>
      <c r="E31" s="37">
        <f>C31-D32-D31</f>
        <v>870.37000000000035</v>
      </c>
      <c r="F31" s="37">
        <f t="shared" si="0"/>
        <v>348.1472</v>
      </c>
      <c r="G31" s="116">
        <v>44326</v>
      </c>
      <c r="H31" s="40">
        <v>44323</v>
      </c>
      <c r="I31" s="233">
        <f t="shared" si="1"/>
        <v>3</v>
      </c>
      <c r="J31" s="369">
        <f t="shared" si="6"/>
        <v>8.9399999999999993E-2</v>
      </c>
      <c r="K31" s="364">
        <f t="shared" si="5"/>
        <v>77.811078000000023</v>
      </c>
    </row>
    <row r="32" spans="1:17" ht="16.5" customHeight="1" x14ac:dyDescent="0.25">
      <c r="A32" s="152">
        <v>0.8</v>
      </c>
      <c r="B32" s="153" t="s">
        <v>27</v>
      </c>
      <c r="C32" s="37">
        <v>0</v>
      </c>
      <c r="D32" s="155">
        <f>ROUND(C31*A31,2)-2000</f>
        <v>1481.4699999999998</v>
      </c>
      <c r="E32" s="37">
        <v>0</v>
      </c>
      <c r="F32" s="37">
        <f t="shared" si="0"/>
        <v>0</v>
      </c>
      <c r="G32" s="116">
        <v>44354</v>
      </c>
      <c r="H32" s="40">
        <v>44323</v>
      </c>
      <c r="I32" s="233">
        <f t="shared" si="1"/>
        <v>31</v>
      </c>
      <c r="J32" s="369">
        <f t="shared" si="6"/>
        <v>8.9399999999999993E-2</v>
      </c>
      <c r="K32" s="364">
        <f t="shared" si="5"/>
        <v>0</v>
      </c>
    </row>
    <row r="33" spans="1:17" ht="16.5" customHeight="1" x14ac:dyDescent="0.25">
      <c r="A33" s="152">
        <v>0.8</v>
      </c>
      <c r="B33" s="153" t="s">
        <v>28</v>
      </c>
      <c r="C33" s="37">
        <v>2266.41</v>
      </c>
      <c r="D33" s="155">
        <f>ROUND(C33*A33,2)</f>
        <v>1813.13</v>
      </c>
      <c r="E33" s="37">
        <f t="shared" si="4"/>
        <v>453.27999999999975</v>
      </c>
      <c r="F33" s="37">
        <f t="shared" si="0"/>
        <v>181.31279999999998</v>
      </c>
      <c r="G33" s="116">
        <v>44322</v>
      </c>
      <c r="H33" s="40">
        <v>44323</v>
      </c>
      <c r="I33" s="233"/>
      <c r="J33" s="369">
        <f t="shared" si="6"/>
        <v>8.9399999999999993E-2</v>
      </c>
      <c r="K33" s="364">
        <f t="shared" si="5"/>
        <v>40.523231999999972</v>
      </c>
    </row>
    <row r="34" spans="1:17" ht="16.5" customHeight="1" x14ac:dyDescent="0.25">
      <c r="A34" s="152">
        <v>0.8</v>
      </c>
      <c r="B34" s="153" t="s">
        <v>29</v>
      </c>
      <c r="C34" s="37">
        <v>2279.9899999999998</v>
      </c>
      <c r="D34" s="155">
        <f t="shared" ref="D34" si="8">ROUND(C34*A34,2)</f>
        <v>1823.99</v>
      </c>
      <c r="E34" s="37">
        <f t="shared" si="4"/>
        <v>455.99999999999977</v>
      </c>
      <c r="F34" s="37">
        <f t="shared" si="0"/>
        <v>182.39919999999998</v>
      </c>
      <c r="G34" s="116">
        <v>44327</v>
      </c>
      <c r="H34" s="40">
        <v>44323</v>
      </c>
      <c r="I34" s="233">
        <f t="shared" si="1"/>
        <v>4</v>
      </c>
      <c r="J34" s="369">
        <f t="shared" si="6"/>
        <v>8.9399999999999993E-2</v>
      </c>
      <c r="K34" s="364">
        <f t="shared" si="5"/>
        <v>40.766399999999976</v>
      </c>
    </row>
    <row r="35" spans="1:17" ht="16.5" customHeight="1" x14ac:dyDescent="0.25">
      <c r="A35" s="152">
        <v>0.8</v>
      </c>
      <c r="B35" s="153" t="s">
        <v>102</v>
      </c>
      <c r="C35" s="37">
        <v>4693.3599999999997</v>
      </c>
      <c r="D35" s="202">
        <v>2000</v>
      </c>
      <c r="E35" s="37">
        <f>C35-D36-D35</f>
        <v>938.66999999999962</v>
      </c>
      <c r="F35" s="37">
        <f t="shared" si="0"/>
        <v>375.46879999999999</v>
      </c>
      <c r="G35" s="116">
        <v>44323</v>
      </c>
      <c r="H35" s="40">
        <v>44323</v>
      </c>
      <c r="I35" s="233">
        <f t="shared" si="1"/>
        <v>0</v>
      </c>
      <c r="J35" s="369">
        <f t="shared" si="6"/>
        <v>8.9399999999999993E-2</v>
      </c>
      <c r="K35" s="364">
        <f t="shared" si="5"/>
        <v>83.917097999999953</v>
      </c>
    </row>
    <row r="36" spans="1:17" ht="16.5" customHeight="1" x14ac:dyDescent="0.25">
      <c r="A36" s="152">
        <v>0.8</v>
      </c>
      <c r="B36" s="153" t="s">
        <v>102</v>
      </c>
      <c r="C36" s="37">
        <v>0</v>
      </c>
      <c r="D36" s="155">
        <f>ROUND(C35*A35,2)-2000</f>
        <v>1754.69</v>
      </c>
      <c r="E36" s="37">
        <v>0</v>
      </c>
      <c r="F36" s="37">
        <f t="shared" si="0"/>
        <v>0</v>
      </c>
      <c r="G36" s="116">
        <v>44326</v>
      </c>
      <c r="H36" s="40">
        <v>44323</v>
      </c>
      <c r="I36" s="233">
        <f t="shared" si="1"/>
        <v>3</v>
      </c>
      <c r="J36" s="369">
        <f t="shared" si="6"/>
        <v>8.9399999999999993E-2</v>
      </c>
      <c r="K36" s="364">
        <f t="shared" si="5"/>
        <v>0</v>
      </c>
    </row>
    <row r="37" spans="1:17" ht="16.5" customHeight="1" x14ac:dyDescent="0.25">
      <c r="A37" s="152">
        <v>0.8</v>
      </c>
      <c r="B37" s="153" t="s">
        <v>31</v>
      </c>
      <c r="C37" s="37">
        <v>2737.48</v>
      </c>
      <c r="D37" s="202">
        <f>ROUND(C37*A37,2)</f>
        <v>2189.98</v>
      </c>
      <c r="E37" s="37">
        <f>C37-D37</f>
        <v>547.5</v>
      </c>
      <c r="F37" s="37">
        <f t="shared" si="0"/>
        <v>218.9984</v>
      </c>
      <c r="G37" s="116">
        <v>44323</v>
      </c>
      <c r="H37" s="40">
        <v>44323</v>
      </c>
      <c r="I37" s="233"/>
      <c r="J37" s="369">
        <f t="shared" si="6"/>
        <v>8.9399999999999993E-2</v>
      </c>
      <c r="K37" s="364">
        <f t="shared" si="5"/>
        <v>48.946499999999993</v>
      </c>
    </row>
    <row r="38" spans="1:17" ht="16.5" customHeight="1" x14ac:dyDescent="0.25">
      <c r="A38" s="152">
        <v>0.8</v>
      </c>
      <c r="B38" s="153" t="s">
        <v>32</v>
      </c>
      <c r="C38" s="37">
        <v>2279.9899999999998</v>
      </c>
      <c r="D38" s="155">
        <f t="shared" si="3"/>
        <v>1823.99</v>
      </c>
      <c r="E38" s="37">
        <f t="shared" si="4"/>
        <v>455.99999999999977</v>
      </c>
      <c r="F38" s="37">
        <f t="shared" si="0"/>
        <v>182.39919999999998</v>
      </c>
      <c r="G38" s="116">
        <v>44322</v>
      </c>
      <c r="H38" s="40">
        <v>44323</v>
      </c>
      <c r="I38" s="233"/>
      <c r="J38" s="369">
        <f t="shared" si="6"/>
        <v>8.9399999999999993E-2</v>
      </c>
      <c r="K38" s="364">
        <f t="shared" si="5"/>
        <v>40.766399999999976</v>
      </c>
    </row>
    <row r="39" spans="1:17" ht="16.5" customHeight="1" x14ac:dyDescent="0.25">
      <c r="A39" s="199"/>
      <c r="B39" s="46" t="s">
        <v>160</v>
      </c>
      <c r="C39" s="46">
        <f>SUM(C20:C38)</f>
        <v>46243.35</v>
      </c>
      <c r="D39" s="46">
        <f>SUM(D20:D38)</f>
        <v>36994.670000000006</v>
      </c>
      <c r="E39" s="46">
        <f>SUM(E20:E38)</f>
        <v>9248.68</v>
      </c>
      <c r="F39" s="46">
        <f t="shared" si="0"/>
        <v>3699.4679999999998</v>
      </c>
      <c r="G39" s="201"/>
      <c r="H39" s="200"/>
      <c r="I39" s="235"/>
      <c r="J39" s="365">
        <v>0</v>
      </c>
      <c r="K39" s="370">
        <f>SUM(K20:K38)</f>
        <v>826.8319919999999</v>
      </c>
      <c r="Q39" s="144"/>
    </row>
    <row r="40" spans="1:17" ht="16.5" customHeight="1" x14ac:dyDescent="0.25">
      <c r="A40" s="152">
        <v>1</v>
      </c>
      <c r="B40" s="153" t="s">
        <v>33</v>
      </c>
      <c r="C40" s="37">
        <v>2106.0100000000002</v>
      </c>
      <c r="D40" s="155">
        <f>ROUND(C40*A40,2)</f>
        <v>2106.0100000000002</v>
      </c>
      <c r="E40" s="37">
        <f>C40-D40</f>
        <v>0</v>
      </c>
      <c r="F40" s="37">
        <f t="shared" si="0"/>
        <v>168.48080000000002</v>
      </c>
      <c r="G40" s="116">
        <v>44328</v>
      </c>
      <c r="H40" s="40">
        <v>44323</v>
      </c>
      <c r="I40" s="233">
        <f t="shared" si="1"/>
        <v>5</v>
      </c>
      <c r="J40" s="369">
        <f>J38</f>
        <v>8.9399999999999993E-2</v>
      </c>
      <c r="K40" s="364">
        <f t="shared" ref="K40:K70" si="9">SUM(E40)*J40</f>
        <v>0</v>
      </c>
    </row>
    <row r="41" spans="1:17" ht="16.5" customHeight="1" x14ac:dyDescent="0.25">
      <c r="A41" s="152">
        <v>1</v>
      </c>
      <c r="B41" s="153" t="s">
        <v>34</v>
      </c>
      <c r="C41" s="37">
        <v>1270.21</v>
      </c>
      <c r="D41" s="155">
        <f t="shared" si="3"/>
        <v>1270.21</v>
      </c>
      <c r="E41" s="37">
        <f t="shared" si="4"/>
        <v>0</v>
      </c>
      <c r="F41" s="37">
        <f t="shared" si="0"/>
        <v>101.61680000000001</v>
      </c>
      <c r="G41" s="116">
        <v>44322</v>
      </c>
      <c r="H41" s="40">
        <v>44323</v>
      </c>
      <c r="I41" s="233"/>
      <c r="J41" s="369">
        <f>J40</f>
        <v>8.9399999999999993E-2</v>
      </c>
      <c r="K41" s="364">
        <f t="shared" si="9"/>
        <v>0</v>
      </c>
    </row>
    <row r="42" spans="1:17" ht="16.5" customHeight="1" x14ac:dyDescent="0.25">
      <c r="A42" s="152">
        <v>1</v>
      </c>
      <c r="B42" s="154" t="s">
        <v>16</v>
      </c>
      <c r="C42" s="37">
        <v>0.72</v>
      </c>
      <c r="D42" s="155">
        <f t="shared" si="3"/>
        <v>0.72</v>
      </c>
      <c r="E42" s="37">
        <f t="shared" si="4"/>
        <v>0</v>
      </c>
      <c r="F42" s="37">
        <f t="shared" si="0"/>
        <v>5.7599999999999998E-2</v>
      </c>
      <c r="G42" s="40">
        <v>44322</v>
      </c>
      <c r="H42" s="40">
        <v>44323</v>
      </c>
      <c r="I42" s="233"/>
      <c r="J42" s="369">
        <f t="shared" ref="J42:J99" si="10">J41</f>
        <v>8.9399999999999993E-2</v>
      </c>
      <c r="K42" s="364">
        <f t="shared" si="9"/>
        <v>0</v>
      </c>
    </row>
    <row r="43" spans="1:17" ht="16.5" customHeight="1" x14ac:dyDescent="0.25">
      <c r="A43" s="152">
        <v>1</v>
      </c>
      <c r="B43" s="153" t="s">
        <v>35</v>
      </c>
      <c r="C43" s="37">
        <v>102.54</v>
      </c>
      <c r="D43" s="155">
        <f t="shared" si="3"/>
        <v>102.54</v>
      </c>
      <c r="E43" s="37">
        <f t="shared" si="4"/>
        <v>0</v>
      </c>
      <c r="F43" s="37">
        <f t="shared" si="0"/>
        <v>8.2032000000000007</v>
      </c>
      <c r="G43" s="116">
        <v>44322</v>
      </c>
      <c r="H43" s="40">
        <v>44323</v>
      </c>
      <c r="I43" s="233"/>
      <c r="J43" s="369">
        <f t="shared" si="10"/>
        <v>8.9399999999999993E-2</v>
      </c>
      <c r="K43" s="364">
        <f t="shared" si="9"/>
        <v>0</v>
      </c>
    </row>
    <row r="44" spans="1:17" ht="16.5" customHeight="1" x14ac:dyDescent="0.25">
      <c r="A44" s="152">
        <v>1</v>
      </c>
      <c r="B44" s="153" t="s">
        <v>37</v>
      </c>
      <c r="C44" s="37">
        <v>1533.01</v>
      </c>
      <c r="D44" s="155">
        <f t="shared" si="3"/>
        <v>1533.01</v>
      </c>
      <c r="E44" s="37">
        <f t="shared" si="4"/>
        <v>0</v>
      </c>
      <c r="F44" s="37">
        <f t="shared" si="0"/>
        <v>122.6408</v>
      </c>
      <c r="G44" s="116">
        <v>44322</v>
      </c>
      <c r="H44" s="40">
        <v>44323</v>
      </c>
      <c r="I44" s="233"/>
      <c r="J44" s="369">
        <f t="shared" si="10"/>
        <v>8.9399999999999993E-2</v>
      </c>
      <c r="K44" s="364">
        <f t="shared" si="9"/>
        <v>0</v>
      </c>
    </row>
    <row r="45" spans="1:17" ht="16.5" customHeight="1" x14ac:dyDescent="0.25">
      <c r="A45" s="152">
        <v>1</v>
      </c>
      <c r="B45" s="153" t="s">
        <v>105</v>
      </c>
      <c r="C45" s="37">
        <v>954.49</v>
      </c>
      <c r="D45" s="155">
        <f t="shared" si="3"/>
        <v>954.49</v>
      </c>
      <c r="E45" s="37">
        <f t="shared" si="4"/>
        <v>0</v>
      </c>
      <c r="F45" s="37">
        <f t="shared" si="0"/>
        <v>76.359200000000001</v>
      </c>
      <c r="G45" s="116">
        <v>44322</v>
      </c>
      <c r="H45" s="40">
        <v>44323</v>
      </c>
      <c r="I45" s="233"/>
      <c r="J45" s="369">
        <f t="shared" si="10"/>
        <v>8.9399999999999993E-2</v>
      </c>
      <c r="K45" s="364">
        <f t="shared" si="9"/>
        <v>0</v>
      </c>
    </row>
    <row r="46" spans="1:17" ht="16.5" customHeight="1" x14ac:dyDescent="0.25">
      <c r="A46" s="152">
        <v>1</v>
      </c>
      <c r="B46" s="153" t="s">
        <v>38</v>
      </c>
      <c r="C46" s="37">
        <v>2593.0700000000002</v>
      </c>
      <c r="D46" s="155">
        <f t="shared" si="3"/>
        <v>2593.0700000000002</v>
      </c>
      <c r="E46" s="37">
        <f t="shared" si="4"/>
        <v>0</v>
      </c>
      <c r="F46" s="37">
        <f t="shared" si="0"/>
        <v>207.44560000000001</v>
      </c>
      <c r="G46" s="116">
        <v>44326</v>
      </c>
      <c r="H46" s="40">
        <v>44323</v>
      </c>
      <c r="I46" s="233">
        <f t="shared" si="1"/>
        <v>3</v>
      </c>
      <c r="J46" s="369">
        <f t="shared" si="10"/>
        <v>8.9399999999999993E-2</v>
      </c>
      <c r="K46" s="364">
        <f t="shared" si="9"/>
        <v>0</v>
      </c>
    </row>
    <row r="47" spans="1:17" ht="16.5" customHeight="1" x14ac:dyDescent="0.25">
      <c r="A47" s="152">
        <v>1</v>
      </c>
      <c r="B47" s="153" t="s">
        <v>39</v>
      </c>
      <c r="C47" s="37">
        <v>6.01</v>
      </c>
      <c r="D47" s="155">
        <f t="shared" si="3"/>
        <v>6.01</v>
      </c>
      <c r="E47" s="37">
        <f t="shared" si="4"/>
        <v>0</v>
      </c>
      <c r="F47" s="37">
        <f t="shared" si="0"/>
        <v>0.48080000000000001</v>
      </c>
      <c r="G47" s="116">
        <v>44322</v>
      </c>
      <c r="H47" s="40">
        <v>44323</v>
      </c>
      <c r="I47" s="233"/>
      <c r="J47" s="369">
        <f t="shared" si="10"/>
        <v>8.9399999999999993E-2</v>
      </c>
      <c r="K47" s="364">
        <f t="shared" si="9"/>
        <v>0</v>
      </c>
    </row>
    <row r="48" spans="1:17" ht="16.5" customHeight="1" x14ac:dyDescent="0.25">
      <c r="A48" s="152">
        <v>1</v>
      </c>
      <c r="B48" s="153" t="s">
        <v>40</v>
      </c>
      <c r="C48" s="37">
        <v>9.76</v>
      </c>
      <c r="D48" s="155">
        <f t="shared" si="3"/>
        <v>9.76</v>
      </c>
      <c r="E48" s="37">
        <f t="shared" si="4"/>
        <v>0</v>
      </c>
      <c r="F48" s="37">
        <f t="shared" si="0"/>
        <v>0.78080000000000005</v>
      </c>
      <c r="G48" s="116">
        <v>44322</v>
      </c>
      <c r="H48" s="40">
        <v>44323</v>
      </c>
      <c r="I48" s="233"/>
      <c r="J48" s="369">
        <f t="shared" si="10"/>
        <v>8.9399999999999993E-2</v>
      </c>
      <c r="K48" s="364">
        <f t="shared" si="9"/>
        <v>0</v>
      </c>
    </row>
    <row r="49" spans="1:11" ht="16.5" customHeight="1" x14ac:dyDescent="0.25">
      <c r="A49" s="152">
        <v>1</v>
      </c>
      <c r="B49" s="153" t="s">
        <v>41</v>
      </c>
      <c r="C49" s="37">
        <v>1031.99</v>
      </c>
      <c r="D49" s="155">
        <f t="shared" si="3"/>
        <v>1031.99</v>
      </c>
      <c r="E49" s="37">
        <f t="shared" si="4"/>
        <v>0</v>
      </c>
      <c r="F49" s="37">
        <f t="shared" si="0"/>
        <v>82.559200000000004</v>
      </c>
      <c r="G49" s="116">
        <v>44322</v>
      </c>
      <c r="H49" s="40">
        <v>44323</v>
      </c>
      <c r="I49" s="233"/>
      <c r="J49" s="369">
        <f t="shared" si="10"/>
        <v>8.9399999999999993E-2</v>
      </c>
      <c r="K49" s="364">
        <f t="shared" si="9"/>
        <v>0</v>
      </c>
    </row>
    <row r="50" spans="1:11" ht="16.5" customHeight="1" x14ac:dyDescent="0.25">
      <c r="A50" s="152">
        <v>1</v>
      </c>
      <c r="B50" s="153" t="s">
        <v>42</v>
      </c>
      <c r="C50" s="37">
        <v>1532.97</v>
      </c>
      <c r="D50" s="155">
        <f t="shared" si="3"/>
        <v>1532.97</v>
      </c>
      <c r="E50" s="37">
        <f t="shared" si="4"/>
        <v>0</v>
      </c>
      <c r="F50" s="37">
        <f t="shared" si="0"/>
        <v>122.63760000000001</v>
      </c>
      <c r="G50" s="116">
        <v>44322</v>
      </c>
      <c r="H50" s="40">
        <v>44323</v>
      </c>
      <c r="I50" s="233"/>
      <c r="J50" s="369">
        <f t="shared" si="10"/>
        <v>8.9399999999999993E-2</v>
      </c>
      <c r="K50" s="364">
        <f t="shared" si="9"/>
        <v>0</v>
      </c>
    </row>
    <row r="51" spans="1:11" ht="16.5" customHeight="1" x14ac:dyDescent="0.25">
      <c r="A51" s="152">
        <v>1</v>
      </c>
      <c r="B51" s="153" t="s">
        <v>43</v>
      </c>
      <c r="C51" s="37">
        <v>102.54</v>
      </c>
      <c r="D51" s="155">
        <f t="shared" si="3"/>
        <v>102.54</v>
      </c>
      <c r="E51" s="37">
        <f t="shared" si="4"/>
        <v>0</v>
      </c>
      <c r="F51" s="37">
        <f t="shared" si="0"/>
        <v>8.2032000000000007</v>
      </c>
      <c r="G51" s="116">
        <v>44322</v>
      </c>
      <c r="H51" s="40">
        <v>44323</v>
      </c>
      <c r="I51" s="233"/>
      <c r="J51" s="369">
        <f t="shared" si="10"/>
        <v>8.9399999999999993E-2</v>
      </c>
      <c r="K51" s="364">
        <f t="shared" si="9"/>
        <v>0</v>
      </c>
    </row>
    <row r="52" spans="1:11" ht="16.5" customHeight="1" x14ac:dyDescent="0.25">
      <c r="A52" s="152">
        <v>1</v>
      </c>
      <c r="B52" s="153" t="s">
        <v>44</v>
      </c>
      <c r="C52" s="37">
        <v>5.63</v>
      </c>
      <c r="D52" s="155">
        <f>ROUND(C52*A52,2)</f>
        <v>5.63</v>
      </c>
      <c r="E52" s="37">
        <f>C52-D52</f>
        <v>0</v>
      </c>
      <c r="F52" s="37">
        <f t="shared" si="0"/>
        <v>0.45040000000000002</v>
      </c>
      <c r="G52" s="116">
        <v>44322</v>
      </c>
      <c r="H52" s="40">
        <v>44323</v>
      </c>
      <c r="I52" s="233"/>
      <c r="J52" s="369">
        <f t="shared" si="10"/>
        <v>8.9399999999999993E-2</v>
      </c>
      <c r="K52" s="364">
        <f t="shared" si="9"/>
        <v>0</v>
      </c>
    </row>
    <row r="53" spans="1:11" ht="16.5" customHeight="1" x14ac:dyDescent="0.25">
      <c r="A53" s="152">
        <v>1</v>
      </c>
      <c r="B53" s="153" t="s">
        <v>46</v>
      </c>
      <c r="C53" s="37">
        <v>5.28</v>
      </c>
      <c r="D53" s="155">
        <f t="shared" si="3"/>
        <v>5.28</v>
      </c>
      <c r="E53" s="37">
        <f t="shared" si="4"/>
        <v>0</v>
      </c>
      <c r="F53" s="37">
        <f t="shared" si="0"/>
        <v>0.42240000000000005</v>
      </c>
      <c r="G53" s="116">
        <v>44322</v>
      </c>
      <c r="H53" s="40">
        <v>44323</v>
      </c>
      <c r="I53" s="233"/>
      <c r="J53" s="369">
        <f>J52</f>
        <v>8.9399999999999993E-2</v>
      </c>
      <c r="K53" s="364">
        <f t="shared" si="9"/>
        <v>0</v>
      </c>
    </row>
    <row r="54" spans="1:11" ht="16.5" customHeight="1" x14ac:dyDescent="0.25">
      <c r="A54" s="152">
        <v>1</v>
      </c>
      <c r="B54" s="153" t="s">
        <v>47</v>
      </c>
      <c r="C54" s="37">
        <v>6.63</v>
      </c>
      <c r="D54" s="155">
        <f t="shared" si="3"/>
        <v>6.63</v>
      </c>
      <c r="E54" s="37">
        <f t="shared" si="4"/>
        <v>0</v>
      </c>
      <c r="F54" s="37">
        <f t="shared" si="0"/>
        <v>0.53039999999999998</v>
      </c>
      <c r="G54" s="40">
        <v>44322</v>
      </c>
      <c r="H54" s="40">
        <v>44323</v>
      </c>
      <c r="I54" s="233"/>
      <c r="J54" s="369">
        <f t="shared" si="10"/>
        <v>8.9399999999999993E-2</v>
      </c>
      <c r="K54" s="364">
        <f t="shared" si="9"/>
        <v>0</v>
      </c>
    </row>
    <row r="55" spans="1:11" ht="16.5" customHeight="1" x14ac:dyDescent="0.25">
      <c r="A55" s="152">
        <v>1</v>
      </c>
      <c r="B55" s="154" t="s">
        <v>2</v>
      </c>
      <c r="C55" s="37">
        <v>7.14</v>
      </c>
      <c r="D55" s="155">
        <f>ROUND(C55*A55,2)</f>
        <v>7.14</v>
      </c>
      <c r="E55" s="37">
        <f>C55-D55</f>
        <v>0</v>
      </c>
      <c r="F55" s="37">
        <f t="shared" si="0"/>
        <v>0.57120000000000004</v>
      </c>
      <c r="G55" s="40">
        <v>44322</v>
      </c>
      <c r="H55" s="40">
        <v>44323</v>
      </c>
      <c r="I55" s="233"/>
      <c r="J55" s="369">
        <f t="shared" si="10"/>
        <v>8.9399999999999993E-2</v>
      </c>
      <c r="K55" s="364">
        <f t="shared" si="9"/>
        <v>0</v>
      </c>
    </row>
    <row r="56" spans="1:11" ht="16.5" customHeight="1" x14ac:dyDescent="0.25">
      <c r="A56" s="152">
        <v>1</v>
      </c>
      <c r="B56" s="153" t="s">
        <v>50</v>
      </c>
      <c r="C56" s="37">
        <v>1529.21</v>
      </c>
      <c r="D56" s="155">
        <f t="shared" si="3"/>
        <v>1529.21</v>
      </c>
      <c r="E56" s="37">
        <f t="shared" si="4"/>
        <v>0</v>
      </c>
      <c r="F56" s="37">
        <f t="shared" si="0"/>
        <v>122.33680000000001</v>
      </c>
      <c r="G56" s="116">
        <v>44322</v>
      </c>
      <c r="H56" s="40">
        <v>44323</v>
      </c>
      <c r="I56" s="233"/>
      <c r="J56" s="369">
        <f t="shared" si="10"/>
        <v>8.9399999999999993E-2</v>
      </c>
      <c r="K56" s="364">
        <f t="shared" si="9"/>
        <v>0</v>
      </c>
    </row>
    <row r="57" spans="1:11" ht="16.5" customHeight="1" x14ac:dyDescent="0.25">
      <c r="A57" s="152">
        <v>1</v>
      </c>
      <c r="B57" s="153" t="s">
        <v>51</v>
      </c>
      <c r="C57" s="37">
        <v>55.75</v>
      </c>
      <c r="D57" s="155">
        <f>ROUND(C57*A57,2)</f>
        <v>55.75</v>
      </c>
      <c r="E57" s="37">
        <f>C57-D57</f>
        <v>0</v>
      </c>
      <c r="F57" s="37">
        <f t="shared" si="0"/>
        <v>4.46</v>
      </c>
      <c r="G57" s="116">
        <v>44322</v>
      </c>
      <c r="H57" s="40">
        <v>44323</v>
      </c>
      <c r="I57" s="233"/>
      <c r="J57" s="369">
        <f t="shared" si="10"/>
        <v>8.9399999999999993E-2</v>
      </c>
      <c r="K57" s="364">
        <f t="shared" si="9"/>
        <v>0</v>
      </c>
    </row>
    <row r="58" spans="1:11" ht="16.5" customHeight="1" x14ac:dyDescent="0.25">
      <c r="A58" s="152">
        <v>1</v>
      </c>
      <c r="B58" s="153" t="s">
        <v>52</v>
      </c>
      <c r="C58" s="37">
        <v>54.63</v>
      </c>
      <c r="D58" s="155">
        <f>ROUND(C58*A58,2)</f>
        <v>54.63</v>
      </c>
      <c r="E58" s="37">
        <f>C58-D58</f>
        <v>0</v>
      </c>
      <c r="F58" s="37">
        <f t="shared" si="0"/>
        <v>4.3704000000000001</v>
      </c>
      <c r="G58" s="116">
        <v>44322</v>
      </c>
      <c r="H58" s="40">
        <v>44323</v>
      </c>
      <c r="I58" s="233"/>
      <c r="J58" s="369">
        <f t="shared" si="10"/>
        <v>8.9399999999999993E-2</v>
      </c>
      <c r="K58" s="364">
        <f t="shared" si="9"/>
        <v>0</v>
      </c>
    </row>
    <row r="59" spans="1:11" ht="16.5" customHeight="1" x14ac:dyDescent="0.25">
      <c r="A59" s="152">
        <v>1</v>
      </c>
      <c r="B59" s="153" t="s">
        <v>53</v>
      </c>
      <c r="C59" s="37">
        <v>2164.9899999999998</v>
      </c>
      <c r="D59" s="155">
        <f>ROUND(C59*A59,2)</f>
        <v>2164.9899999999998</v>
      </c>
      <c r="E59" s="37">
        <v>0</v>
      </c>
      <c r="F59" s="37">
        <f t="shared" si="0"/>
        <v>173.19919999999999</v>
      </c>
      <c r="G59" s="116">
        <v>44327</v>
      </c>
      <c r="H59" s="40">
        <v>44323</v>
      </c>
      <c r="I59" s="233">
        <f t="shared" si="1"/>
        <v>4</v>
      </c>
      <c r="J59" s="369">
        <f t="shared" si="10"/>
        <v>8.9399999999999993E-2</v>
      </c>
      <c r="K59" s="364">
        <f t="shared" si="9"/>
        <v>0</v>
      </c>
    </row>
    <row r="60" spans="1:11" ht="16.5" customHeight="1" x14ac:dyDescent="0.25">
      <c r="A60" s="152">
        <v>1</v>
      </c>
      <c r="B60" s="153" t="s">
        <v>54</v>
      </c>
      <c r="C60" s="37">
        <v>9.68</v>
      </c>
      <c r="D60" s="155">
        <f t="shared" si="3"/>
        <v>9.68</v>
      </c>
      <c r="E60" s="37">
        <f t="shared" si="4"/>
        <v>0</v>
      </c>
      <c r="F60" s="37">
        <f t="shared" si="0"/>
        <v>0.77439999999999998</v>
      </c>
      <c r="G60" s="116">
        <v>44322</v>
      </c>
      <c r="H60" s="40">
        <v>44323</v>
      </c>
      <c r="I60" s="233"/>
      <c r="J60" s="369">
        <f t="shared" si="10"/>
        <v>8.9399999999999993E-2</v>
      </c>
      <c r="K60" s="364">
        <f t="shared" si="9"/>
        <v>0</v>
      </c>
    </row>
    <row r="61" spans="1:11" ht="16.5" customHeight="1" x14ac:dyDescent="0.25">
      <c r="A61" s="152">
        <v>1</v>
      </c>
      <c r="B61" s="153" t="s">
        <v>55</v>
      </c>
      <c r="C61" s="37">
        <v>4.33</v>
      </c>
      <c r="D61" s="155">
        <f t="shared" si="3"/>
        <v>4.33</v>
      </c>
      <c r="E61" s="37">
        <f t="shared" si="4"/>
        <v>0</v>
      </c>
      <c r="F61" s="37">
        <f t="shared" si="0"/>
        <v>0.34639999999999999</v>
      </c>
      <c r="G61" s="116">
        <v>44322</v>
      </c>
      <c r="H61" s="40">
        <v>44323</v>
      </c>
      <c r="I61" s="233"/>
      <c r="J61" s="369">
        <f t="shared" si="10"/>
        <v>8.9399999999999993E-2</v>
      </c>
      <c r="K61" s="364">
        <f t="shared" si="9"/>
        <v>0</v>
      </c>
    </row>
    <row r="62" spans="1:11" ht="16.5" customHeight="1" x14ac:dyDescent="0.25">
      <c r="A62" s="152">
        <v>1</v>
      </c>
      <c r="B62" s="153" t="s">
        <v>56</v>
      </c>
      <c r="C62" s="37">
        <v>1213.83</v>
      </c>
      <c r="D62" s="155">
        <f>ROUND(C62*A62,2)</f>
        <v>1213.83</v>
      </c>
      <c r="E62" s="37">
        <f>C62-D62</f>
        <v>0</v>
      </c>
      <c r="F62" s="37">
        <f t="shared" si="0"/>
        <v>97.106399999999994</v>
      </c>
      <c r="G62" s="116">
        <v>44322</v>
      </c>
      <c r="H62" s="40">
        <v>44323</v>
      </c>
      <c r="I62" s="233"/>
      <c r="J62" s="369">
        <f t="shared" si="10"/>
        <v>8.9399999999999993E-2</v>
      </c>
      <c r="K62" s="364">
        <f t="shared" si="9"/>
        <v>0</v>
      </c>
    </row>
    <row r="63" spans="1:11" ht="16.5" customHeight="1" x14ac:dyDescent="0.25">
      <c r="A63" s="152">
        <v>1</v>
      </c>
      <c r="B63" s="153" t="s">
        <v>57</v>
      </c>
      <c r="C63" s="37">
        <v>4.1500000000000004</v>
      </c>
      <c r="D63" s="155">
        <f t="shared" si="3"/>
        <v>4.1500000000000004</v>
      </c>
      <c r="E63" s="37">
        <f t="shared" si="4"/>
        <v>0</v>
      </c>
      <c r="F63" s="37">
        <f t="shared" si="0"/>
        <v>0.33200000000000002</v>
      </c>
      <c r="G63" s="116">
        <v>44322</v>
      </c>
      <c r="H63" s="40">
        <v>44323</v>
      </c>
      <c r="I63" s="233"/>
      <c r="J63" s="369">
        <f t="shared" si="10"/>
        <v>8.9399999999999993E-2</v>
      </c>
      <c r="K63" s="364">
        <f t="shared" si="9"/>
        <v>0</v>
      </c>
    </row>
    <row r="64" spans="1:11" ht="16.5" customHeight="1" x14ac:dyDescent="0.25">
      <c r="A64" s="152">
        <v>1</v>
      </c>
      <c r="B64" s="153" t="s">
        <v>114</v>
      </c>
      <c r="C64" s="37">
        <v>453.37</v>
      </c>
      <c r="D64" s="155">
        <f t="shared" si="3"/>
        <v>453.37</v>
      </c>
      <c r="E64" s="37">
        <f t="shared" si="4"/>
        <v>0</v>
      </c>
      <c r="F64" s="37">
        <f t="shared" si="0"/>
        <v>36.269600000000004</v>
      </c>
      <c r="G64" s="116">
        <v>44322</v>
      </c>
      <c r="H64" s="40">
        <v>44323</v>
      </c>
      <c r="I64" s="233"/>
      <c r="J64" s="369">
        <f t="shared" si="10"/>
        <v>8.9399999999999993E-2</v>
      </c>
      <c r="K64" s="364">
        <f t="shared" si="9"/>
        <v>0</v>
      </c>
    </row>
    <row r="65" spans="1:11" ht="16.5" customHeight="1" x14ac:dyDescent="0.25">
      <c r="A65" s="152">
        <v>1</v>
      </c>
      <c r="B65" s="153" t="s">
        <v>58</v>
      </c>
      <c r="C65" s="37">
        <v>3.87</v>
      </c>
      <c r="D65" s="155">
        <f t="shared" si="3"/>
        <v>3.87</v>
      </c>
      <c r="E65" s="37">
        <f t="shared" si="4"/>
        <v>0</v>
      </c>
      <c r="F65" s="37">
        <f t="shared" si="0"/>
        <v>0.30960000000000004</v>
      </c>
      <c r="G65" s="116">
        <v>44322</v>
      </c>
      <c r="H65" s="40">
        <v>44323</v>
      </c>
      <c r="I65" s="233"/>
      <c r="J65" s="369">
        <f t="shared" si="10"/>
        <v>8.9399999999999993E-2</v>
      </c>
      <c r="K65" s="364">
        <f t="shared" si="9"/>
        <v>0</v>
      </c>
    </row>
    <row r="66" spans="1:11" s="142" customFormat="1" ht="16.5" customHeight="1" x14ac:dyDescent="0.25">
      <c r="A66" s="152">
        <v>1</v>
      </c>
      <c r="B66" s="153" t="s">
        <v>59</v>
      </c>
      <c r="C66" s="37">
        <v>4.68</v>
      </c>
      <c r="D66" s="155">
        <f>ROUND(C66*A66,2)</f>
        <v>4.68</v>
      </c>
      <c r="E66" s="37">
        <f>C66-D66</f>
        <v>0</v>
      </c>
      <c r="F66" s="37">
        <f t="shared" si="0"/>
        <v>0.37440000000000001</v>
      </c>
      <c r="G66" s="116">
        <v>44322</v>
      </c>
      <c r="H66" s="40">
        <v>44323</v>
      </c>
      <c r="I66" s="233"/>
      <c r="J66" s="369">
        <f t="shared" si="10"/>
        <v>8.9399999999999993E-2</v>
      </c>
      <c r="K66" s="364">
        <f t="shared" si="9"/>
        <v>0</v>
      </c>
    </row>
    <row r="67" spans="1:11" ht="16.5" customHeight="1" x14ac:dyDescent="0.25">
      <c r="A67" s="152">
        <v>1</v>
      </c>
      <c r="B67" s="153" t="s">
        <v>61</v>
      </c>
      <c r="C67" s="37">
        <v>54.11</v>
      </c>
      <c r="D67" s="155">
        <f t="shared" si="3"/>
        <v>54.11</v>
      </c>
      <c r="E67" s="37">
        <f t="shared" ref="E67:E108" si="11">C67-D67</f>
        <v>0</v>
      </c>
      <c r="F67" s="37">
        <f t="shared" ref="F67:F110" si="12">C67*8%</f>
        <v>4.3288000000000002</v>
      </c>
      <c r="G67" s="116">
        <v>44322</v>
      </c>
      <c r="H67" s="40">
        <v>44323</v>
      </c>
      <c r="I67" s="233"/>
      <c r="J67" s="369">
        <f t="shared" si="10"/>
        <v>8.9399999999999993E-2</v>
      </c>
      <c r="K67" s="364">
        <f t="shared" si="9"/>
        <v>0</v>
      </c>
    </row>
    <row r="68" spans="1:11" ht="16.5" customHeight="1" x14ac:dyDescent="0.25">
      <c r="A68" s="152">
        <v>1</v>
      </c>
      <c r="B68" s="153" t="s">
        <v>107</v>
      </c>
      <c r="C68" s="37">
        <v>477.25</v>
      </c>
      <c r="D68" s="155">
        <f t="shared" si="3"/>
        <v>477.25</v>
      </c>
      <c r="E68" s="37">
        <f t="shared" si="11"/>
        <v>0</v>
      </c>
      <c r="F68" s="37">
        <f t="shared" si="12"/>
        <v>38.18</v>
      </c>
      <c r="G68" s="116">
        <v>44322</v>
      </c>
      <c r="H68" s="40">
        <v>44323</v>
      </c>
      <c r="I68" s="233"/>
      <c r="J68" s="369">
        <f t="shared" si="10"/>
        <v>8.9399999999999993E-2</v>
      </c>
      <c r="K68" s="364">
        <f t="shared" si="9"/>
        <v>0</v>
      </c>
    </row>
    <row r="69" spans="1:11" ht="16.5" customHeight="1" x14ac:dyDescent="0.25">
      <c r="A69" s="152">
        <v>1</v>
      </c>
      <c r="B69" s="153" t="s">
        <v>115</v>
      </c>
      <c r="C69" s="37">
        <v>735.64</v>
      </c>
      <c r="D69" s="155">
        <f t="shared" ref="D69:D108" si="13">ROUND(C69*A69,2)</f>
        <v>735.64</v>
      </c>
      <c r="E69" s="37">
        <f t="shared" si="11"/>
        <v>0</v>
      </c>
      <c r="F69" s="37">
        <f t="shared" si="12"/>
        <v>58.851199999999999</v>
      </c>
      <c r="G69" s="116">
        <v>44322</v>
      </c>
      <c r="H69" s="40">
        <v>44323</v>
      </c>
      <c r="I69" s="233"/>
      <c r="J69" s="369">
        <f t="shared" si="10"/>
        <v>8.9399999999999993E-2</v>
      </c>
      <c r="K69" s="364">
        <f t="shared" si="9"/>
        <v>0</v>
      </c>
    </row>
    <row r="70" spans="1:11" ht="16.5" customHeight="1" x14ac:dyDescent="0.25">
      <c r="A70" s="152">
        <v>1</v>
      </c>
      <c r="B70" s="153" t="s">
        <v>62</v>
      </c>
      <c r="C70" s="37">
        <v>2.85</v>
      </c>
      <c r="D70" s="155">
        <f t="shared" si="13"/>
        <v>2.85</v>
      </c>
      <c r="E70" s="37">
        <f t="shared" si="11"/>
        <v>0</v>
      </c>
      <c r="F70" s="37">
        <f t="shared" si="12"/>
        <v>0.22800000000000001</v>
      </c>
      <c r="G70" s="116">
        <v>44322</v>
      </c>
      <c r="H70" s="40">
        <v>44323</v>
      </c>
      <c r="I70" s="233"/>
      <c r="J70" s="369">
        <f t="shared" si="10"/>
        <v>8.9399999999999993E-2</v>
      </c>
      <c r="K70" s="364">
        <f t="shared" si="9"/>
        <v>0</v>
      </c>
    </row>
    <row r="71" spans="1:11" ht="16.5" customHeight="1" x14ac:dyDescent="0.25">
      <c r="A71" s="152">
        <v>1</v>
      </c>
      <c r="B71" s="153" t="s">
        <v>64</v>
      </c>
      <c r="C71" s="37">
        <v>10.79</v>
      </c>
      <c r="D71" s="155">
        <f t="shared" si="13"/>
        <v>10.79</v>
      </c>
      <c r="E71" s="37">
        <f t="shared" si="11"/>
        <v>0</v>
      </c>
      <c r="F71" s="37">
        <f t="shared" si="12"/>
        <v>0.86319999999999997</v>
      </c>
      <c r="G71" s="116">
        <v>44322</v>
      </c>
      <c r="H71" s="40">
        <v>44323</v>
      </c>
      <c r="I71" s="233"/>
      <c r="J71" s="369">
        <f t="shared" si="10"/>
        <v>8.9399999999999993E-2</v>
      </c>
      <c r="K71" s="364">
        <f t="shared" ref="K71:K99" si="14">SUM(E71)*J71</f>
        <v>0</v>
      </c>
    </row>
    <row r="72" spans="1:11" ht="16.5" customHeight="1" x14ac:dyDescent="0.25">
      <c r="A72" s="152">
        <v>1</v>
      </c>
      <c r="B72" s="153" t="s">
        <v>65</v>
      </c>
      <c r="C72" s="37">
        <v>467.89</v>
      </c>
      <c r="D72" s="155">
        <f t="shared" si="13"/>
        <v>467.89</v>
      </c>
      <c r="E72" s="37">
        <f t="shared" si="11"/>
        <v>0</v>
      </c>
      <c r="F72" s="37">
        <f t="shared" si="12"/>
        <v>37.431199999999997</v>
      </c>
      <c r="G72" s="116">
        <v>44322</v>
      </c>
      <c r="H72" s="40">
        <v>44323</v>
      </c>
      <c r="I72" s="233"/>
      <c r="J72" s="369">
        <f t="shared" si="10"/>
        <v>8.9399999999999993E-2</v>
      </c>
      <c r="K72" s="364">
        <f t="shared" si="14"/>
        <v>0</v>
      </c>
    </row>
    <row r="73" spans="1:11" ht="16.5" customHeight="1" x14ac:dyDescent="0.25">
      <c r="A73" s="152">
        <v>1</v>
      </c>
      <c r="B73" s="153" t="s">
        <v>66</v>
      </c>
      <c r="C73" s="37">
        <v>1040.6400000000001</v>
      </c>
      <c r="D73" s="155">
        <f t="shared" si="13"/>
        <v>1040.6400000000001</v>
      </c>
      <c r="E73" s="37">
        <f t="shared" si="11"/>
        <v>0</v>
      </c>
      <c r="F73" s="37">
        <f t="shared" si="12"/>
        <v>83.251200000000011</v>
      </c>
      <c r="G73" s="116">
        <v>44327</v>
      </c>
      <c r="H73" s="40">
        <v>44323</v>
      </c>
      <c r="I73" s="233">
        <f t="shared" ref="I73:I102" si="15">G73-H73</f>
        <v>4</v>
      </c>
      <c r="J73" s="369">
        <f t="shared" si="10"/>
        <v>8.9399999999999993E-2</v>
      </c>
      <c r="K73" s="364">
        <f t="shared" si="14"/>
        <v>0</v>
      </c>
    </row>
    <row r="74" spans="1:11" ht="16.5" customHeight="1" x14ac:dyDescent="0.25">
      <c r="A74" s="152">
        <v>1</v>
      </c>
      <c r="B74" s="153" t="s">
        <v>67</v>
      </c>
      <c r="C74" s="37">
        <v>766.96</v>
      </c>
      <c r="D74" s="155">
        <f t="shared" si="13"/>
        <v>766.96</v>
      </c>
      <c r="E74" s="37">
        <f t="shared" si="11"/>
        <v>0</v>
      </c>
      <c r="F74" s="37">
        <f t="shared" si="12"/>
        <v>61.356800000000007</v>
      </c>
      <c r="G74" s="116">
        <v>44322</v>
      </c>
      <c r="H74" s="40">
        <v>44323</v>
      </c>
      <c r="I74" s="233"/>
      <c r="J74" s="369">
        <f t="shared" si="10"/>
        <v>8.9399999999999993E-2</v>
      </c>
      <c r="K74" s="364">
        <f t="shared" si="14"/>
        <v>0</v>
      </c>
    </row>
    <row r="75" spans="1:11" ht="16.5" customHeight="1" x14ac:dyDescent="0.25">
      <c r="A75" s="152">
        <v>1</v>
      </c>
      <c r="B75" s="153" t="s">
        <v>68</v>
      </c>
      <c r="C75" s="37">
        <v>633.4</v>
      </c>
      <c r="D75" s="155">
        <f t="shared" si="13"/>
        <v>633.4</v>
      </c>
      <c r="E75" s="37">
        <f t="shared" si="11"/>
        <v>0</v>
      </c>
      <c r="F75" s="37">
        <f t="shared" si="12"/>
        <v>50.671999999999997</v>
      </c>
      <c r="G75" s="116">
        <v>44322</v>
      </c>
      <c r="H75" s="40">
        <v>44323</v>
      </c>
      <c r="I75" s="233"/>
      <c r="J75" s="369">
        <f t="shared" si="10"/>
        <v>8.9399999999999993E-2</v>
      </c>
      <c r="K75" s="364">
        <f t="shared" si="14"/>
        <v>0</v>
      </c>
    </row>
    <row r="76" spans="1:11" ht="16.5" customHeight="1" x14ac:dyDescent="0.25">
      <c r="A76" s="152">
        <v>1</v>
      </c>
      <c r="B76" s="153" t="s">
        <v>109</v>
      </c>
      <c r="C76" s="37">
        <v>1205.1500000000001</v>
      </c>
      <c r="D76" s="155">
        <f t="shared" si="13"/>
        <v>1205.1500000000001</v>
      </c>
      <c r="E76" s="37">
        <f t="shared" si="11"/>
        <v>0</v>
      </c>
      <c r="F76" s="37">
        <f t="shared" si="12"/>
        <v>96.412000000000006</v>
      </c>
      <c r="G76" s="116">
        <v>44322</v>
      </c>
      <c r="H76" s="40">
        <v>44323</v>
      </c>
      <c r="I76" s="233"/>
      <c r="J76" s="369">
        <f t="shared" si="10"/>
        <v>8.9399999999999993E-2</v>
      </c>
      <c r="K76" s="364">
        <f t="shared" si="14"/>
        <v>0</v>
      </c>
    </row>
    <row r="77" spans="1:11" ht="16.5" customHeight="1" x14ac:dyDescent="0.25">
      <c r="A77" s="152">
        <v>1</v>
      </c>
      <c r="B77" s="153" t="s">
        <v>71</v>
      </c>
      <c r="C77" s="37">
        <v>2.85</v>
      </c>
      <c r="D77" s="155">
        <f t="shared" si="13"/>
        <v>2.85</v>
      </c>
      <c r="E77" s="37">
        <f t="shared" si="11"/>
        <v>0</v>
      </c>
      <c r="F77" s="37">
        <f t="shared" si="12"/>
        <v>0.22800000000000001</v>
      </c>
      <c r="G77" s="40">
        <v>44322</v>
      </c>
      <c r="H77" s="40">
        <v>44323</v>
      </c>
      <c r="I77" s="233"/>
      <c r="J77" s="369">
        <f>J76</f>
        <v>8.9399999999999993E-2</v>
      </c>
      <c r="K77" s="364">
        <f t="shared" si="14"/>
        <v>0</v>
      </c>
    </row>
    <row r="78" spans="1:11" ht="16.5" customHeight="1" x14ac:dyDescent="0.25">
      <c r="A78" s="152">
        <v>1</v>
      </c>
      <c r="B78" s="153" t="s">
        <v>72</v>
      </c>
      <c r="C78" s="37">
        <v>102.85</v>
      </c>
      <c r="D78" s="155">
        <f t="shared" si="13"/>
        <v>102.85</v>
      </c>
      <c r="E78" s="37">
        <f t="shared" si="11"/>
        <v>0</v>
      </c>
      <c r="F78" s="37">
        <f t="shared" si="12"/>
        <v>8.2279999999999998</v>
      </c>
      <c r="G78" s="40">
        <v>44322</v>
      </c>
      <c r="H78" s="40">
        <v>44323</v>
      </c>
      <c r="I78" s="233"/>
      <c r="J78" s="369">
        <f t="shared" si="10"/>
        <v>8.9399999999999993E-2</v>
      </c>
      <c r="K78" s="364">
        <f t="shared" si="14"/>
        <v>0</v>
      </c>
    </row>
    <row r="79" spans="1:11" ht="16.5" customHeight="1" x14ac:dyDescent="0.25">
      <c r="A79" s="152">
        <v>1</v>
      </c>
      <c r="B79" s="153" t="s">
        <v>73</v>
      </c>
      <c r="C79" s="37">
        <v>740.1</v>
      </c>
      <c r="D79" s="155">
        <f t="shared" si="13"/>
        <v>740.1</v>
      </c>
      <c r="E79" s="37">
        <f t="shared" si="11"/>
        <v>0</v>
      </c>
      <c r="F79" s="37">
        <f t="shared" si="12"/>
        <v>59.208000000000006</v>
      </c>
      <c r="G79" s="40">
        <v>44322</v>
      </c>
      <c r="H79" s="40">
        <v>44323</v>
      </c>
      <c r="I79" s="233"/>
      <c r="J79" s="369">
        <f t="shared" si="10"/>
        <v>8.9399999999999993E-2</v>
      </c>
      <c r="K79" s="364">
        <f t="shared" si="14"/>
        <v>0</v>
      </c>
    </row>
    <row r="80" spans="1:11" ht="16.5" customHeight="1" x14ac:dyDescent="0.25">
      <c r="A80" s="152">
        <v>1</v>
      </c>
      <c r="B80" s="153" t="s">
        <v>74</v>
      </c>
      <c r="C80" s="37">
        <v>3498.01</v>
      </c>
      <c r="D80" s="202">
        <v>2000</v>
      </c>
      <c r="E80" s="37">
        <f>C80-D81-D80</f>
        <v>0</v>
      </c>
      <c r="F80" s="37">
        <f t="shared" si="12"/>
        <v>279.8408</v>
      </c>
      <c r="G80" s="40">
        <v>44323</v>
      </c>
      <c r="H80" s="40">
        <v>44323</v>
      </c>
      <c r="I80" s="233"/>
      <c r="J80" s="369">
        <f t="shared" si="10"/>
        <v>8.9399999999999993E-2</v>
      </c>
      <c r="K80" s="364">
        <f t="shared" si="14"/>
        <v>0</v>
      </c>
    </row>
    <row r="81" spans="1:11" ht="16.5" customHeight="1" x14ac:dyDescent="0.25">
      <c r="A81" s="152">
        <v>1</v>
      </c>
      <c r="B81" s="153" t="s">
        <v>74</v>
      </c>
      <c r="C81" s="37">
        <v>0</v>
      </c>
      <c r="D81" s="155">
        <f>C80-D80</f>
        <v>1498.0100000000002</v>
      </c>
      <c r="E81" s="192"/>
      <c r="F81" s="37">
        <f t="shared" si="12"/>
        <v>0</v>
      </c>
      <c r="G81" s="40">
        <v>44326</v>
      </c>
      <c r="H81" s="40">
        <v>44323</v>
      </c>
      <c r="I81" s="233">
        <f t="shared" si="15"/>
        <v>3</v>
      </c>
      <c r="J81" s="369">
        <f t="shared" si="10"/>
        <v>8.9399999999999993E-2</v>
      </c>
      <c r="K81" s="364">
        <f t="shared" si="14"/>
        <v>0</v>
      </c>
    </row>
    <row r="82" spans="1:11" ht="16.5" customHeight="1" x14ac:dyDescent="0.25">
      <c r="A82" s="152">
        <v>1</v>
      </c>
      <c r="B82" s="153" t="s">
        <v>110</v>
      </c>
      <c r="C82" s="37">
        <v>1272.8900000000001</v>
      </c>
      <c r="D82" s="155">
        <f t="shared" si="13"/>
        <v>1272.8900000000001</v>
      </c>
      <c r="E82" s="37">
        <f t="shared" si="11"/>
        <v>0</v>
      </c>
      <c r="F82" s="37">
        <f t="shared" si="12"/>
        <v>101.83120000000001</v>
      </c>
      <c r="G82" s="40">
        <v>44322</v>
      </c>
      <c r="H82" s="40">
        <v>44323</v>
      </c>
      <c r="I82" s="233"/>
      <c r="J82" s="369">
        <f t="shared" si="10"/>
        <v>8.9399999999999993E-2</v>
      </c>
      <c r="K82" s="364">
        <f t="shared" si="14"/>
        <v>0</v>
      </c>
    </row>
    <row r="83" spans="1:11" ht="16.5" customHeight="1" x14ac:dyDescent="0.25">
      <c r="A83" s="152">
        <v>1</v>
      </c>
      <c r="B83" s="153" t="s">
        <v>77</v>
      </c>
      <c r="C83" s="37">
        <v>1533.01</v>
      </c>
      <c r="D83" s="155">
        <f t="shared" si="13"/>
        <v>1533.01</v>
      </c>
      <c r="E83" s="37">
        <f t="shared" si="11"/>
        <v>0</v>
      </c>
      <c r="F83" s="37">
        <f t="shared" si="12"/>
        <v>122.6408</v>
      </c>
      <c r="G83" s="40">
        <v>44322</v>
      </c>
      <c r="H83" s="40">
        <v>44323</v>
      </c>
      <c r="I83" s="233"/>
      <c r="J83" s="369">
        <f t="shared" si="10"/>
        <v>8.9399999999999993E-2</v>
      </c>
      <c r="K83" s="364">
        <f t="shared" si="14"/>
        <v>0</v>
      </c>
    </row>
    <row r="84" spans="1:11" ht="16.5" customHeight="1" x14ac:dyDescent="0.25">
      <c r="A84" s="152">
        <v>1</v>
      </c>
      <c r="B84" s="153" t="s">
        <v>78</v>
      </c>
      <c r="C84" s="37">
        <v>1153.8800000000001</v>
      </c>
      <c r="D84" s="155">
        <f t="shared" si="13"/>
        <v>1153.8800000000001</v>
      </c>
      <c r="E84" s="37">
        <f t="shared" si="11"/>
        <v>0</v>
      </c>
      <c r="F84" s="37">
        <f t="shared" si="12"/>
        <v>92.310400000000016</v>
      </c>
      <c r="G84" s="40">
        <v>44322</v>
      </c>
      <c r="H84" s="40">
        <v>44323</v>
      </c>
      <c r="I84" s="233"/>
      <c r="J84" s="369">
        <f t="shared" si="10"/>
        <v>8.9399999999999993E-2</v>
      </c>
      <c r="K84" s="364">
        <f t="shared" si="14"/>
        <v>0</v>
      </c>
    </row>
    <row r="85" spans="1:11" ht="16.5" customHeight="1" x14ac:dyDescent="0.25">
      <c r="A85" s="152">
        <v>1</v>
      </c>
      <c r="B85" s="153" t="s">
        <v>79</v>
      </c>
      <c r="C85" s="37">
        <v>770.84</v>
      </c>
      <c r="D85" s="155">
        <f t="shared" si="13"/>
        <v>770.84</v>
      </c>
      <c r="E85" s="37">
        <f t="shared" si="11"/>
        <v>0</v>
      </c>
      <c r="F85" s="37">
        <f t="shared" si="12"/>
        <v>61.667200000000001</v>
      </c>
      <c r="G85" s="40">
        <v>44322</v>
      </c>
      <c r="H85" s="40">
        <v>44323</v>
      </c>
      <c r="I85" s="233"/>
      <c r="J85" s="369">
        <f t="shared" si="10"/>
        <v>8.9399999999999993E-2</v>
      </c>
      <c r="K85" s="364">
        <f t="shared" si="14"/>
        <v>0</v>
      </c>
    </row>
    <row r="86" spans="1:11" ht="16.5" customHeight="1" x14ac:dyDescent="0.25">
      <c r="A86" s="152">
        <v>1</v>
      </c>
      <c r="B86" s="153" t="s">
        <v>111</v>
      </c>
      <c r="C86" s="37">
        <v>770.76</v>
      </c>
      <c r="D86" s="155">
        <f t="shared" si="13"/>
        <v>770.76</v>
      </c>
      <c r="E86" s="37">
        <f t="shared" si="11"/>
        <v>0</v>
      </c>
      <c r="F86" s="37">
        <f t="shared" si="12"/>
        <v>61.660800000000002</v>
      </c>
      <c r="G86" s="40">
        <v>44322</v>
      </c>
      <c r="H86" s="40">
        <v>44323</v>
      </c>
      <c r="I86" s="233"/>
      <c r="J86" s="369">
        <f t="shared" si="10"/>
        <v>8.9399999999999993E-2</v>
      </c>
      <c r="K86" s="364">
        <f t="shared" si="14"/>
        <v>0</v>
      </c>
    </row>
    <row r="87" spans="1:11" ht="16.5" customHeight="1" x14ac:dyDescent="0.25">
      <c r="A87" s="152">
        <v>1</v>
      </c>
      <c r="B87" s="153" t="s">
        <v>80</v>
      </c>
      <c r="C87" s="37">
        <v>1984.94</v>
      </c>
      <c r="D87" s="155">
        <f t="shared" si="13"/>
        <v>1984.94</v>
      </c>
      <c r="E87" s="37">
        <f t="shared" si="11"/>
        <v>0</v>
      </c>
      <c r="F87" s="37">
        <f t="shared" si="12"/>
        <v>158.79519999999999</v>
      </c>
      <c r="G87" s="40">
        <v>44322</v>
      </c>
      <c r="H87" s="40">
        <v>44323</v>
      </c>
      <c r="I87" s="233"/>
      <c r="J87" s="369">
        <f t="shared" si="10"/>
        <v>8.9399999999999993E-2</v>
      </c>
      <c r="K87" s="364">
        <f t="shared" si="14"/>
        <v>0</v>
      </c>
    </row>
    <row r="88" spans="1:11" ht="16.5" customHeight="1" x14ac:dyDescent="0.25">
      <c r="A88" s="152">
        <v>1</v>
      </c>
      <c r="B88" s="153" t="s">
        <v>81</v>
      </c>
      <c r="C88" s="37">
        <v>822.11</v>
      </c>
      <c r="D88" s="155">
        <f t="shared" si="13"/>
        <v>822.11</v>
      </c>
      <c r="E88" s="37">
        <f t="shared" si="11"/>
        <v>0</v>
      </c>
      <c r="F88" s="37">
        <f t="shared" si="12"/>
        <v>65.768799999999999</v>
      </c>
      <c r="G88" s="40">
        <v>44322</v>
      </c>
      <c r="H88" s="40">
        <v>44323</v>
      </c>
      <c r="I88" s="233"/>
      <c r="J88" s="369">
        <f t="shared" si="10"/>
        <v>8.9399999999999993E-2</v>
      </c>
      <c r="K88" s="364">
        <f t="shared" si="14"/>
        <v>0</v>
      </c>
    </row>
    <row r="89" spans="1:11" ht="16.5" customHeight="1" x14ac:dyDescent="0.25">
      <c r="A89" s="152">
        <v>1</v>
      </c>
      <c r="B89" s="153" t="s">
        <v>82</v>
      </c>
      <c r="C89" s="37">
        <v>1533.01</v>
      </c>
      <c r="D89" s="155">
        <f t="shared" si="13"/>
        <v>1533.01</v>
      </c>
      <c r="E89" s="37">
        <f t="shared" si="11"/>
        <v>0</v>
      </c>
      <c r="F89" s="37">
        <f t="shared" si="12"/>
        <v>122.6408</v>
      </c>
      <c r="G89" s="40">
        <v>44322</v>
      </c>
      <c r="H89" s="40">
        <v>44323</v>
      </c>
      <c r="I89" s="233"/>
      <c r="J89" s="369">
        <f t="shared" si="10"/>
        <v>8.9399999999999993E-2</v>
      </c>
      <c r="K89" s="364">
        <f t="shared" si="14"/>
        <v>0</v>
      </c>
    </row>
    <row r="90" spans="1:11" ht="16.5" customHeight="1" x14ac:dyDescent="0.25">
      <c r="A90" s="152">
        <v>1</v>
      </c>
      <c r="B90" s="153" t="s">
        <v>112</v>
      </c>
      <c r="C90" s="37">
        <v>6.01</v>
      </c>
      <c r="D90" s="155">
        <v>0</v>
      </c>
      <c r="E90" s="37">
        <v>0</v>
      </c>
      <c r="F90" s="37">
        <f t="shared" si="12"/>
        <v>0.48080000000000001</v>
      </c>
      <c r="G90" s="40">
        <v>44322</v>
      </c>
      <c r="H90" s="40">
        <v>44323</v>
      </c>
      <c r="I90" s="233"/>
      <c r="J90" s="369">
        <f t="shared" si="10"/>
        <v>8.9399999999999993E-2</v>
      </c>
      <c r="K90" s="364">
        <f t="shared" si="14"/>
        <v>0</v>
      </c>
    </row>
    <row r="91" spans="1:11" ht="16.5" customHeight="1" x14ac:dyDescent="0.25">
      <c r="A91" s="152">
        <v>1</v>
      </c>
      <c r="B91" s="153" t="s">
        <v>112</v>
      </c>
      <c r="C91" s="37">
        <v>0</v>
      </c>
      <c r="D91" s="155">
        <v>6.01</v>
      </c>
      <c r="E91" s="193">
        <f>C90-D91</f>
        <v>0</v>
      </c>
      <c r="F91" s="37">
        <f t="shared" si="12"/>
        <v>0</v>
      </c>
      <c r="G91" s="40">
        <v>44329</v>
      </c>
      <c r="H91" s="40">
        <v>44323</v>
      </c>
      <c r="I91" s="233">
        <f t="shared" si="15"/>
        <v>6</v>
      </c>
      <c r="J91" s="369">
        <f t="shared" si="10"/>
        <v>8.9399999999999993E-2</v>
      </c>
      <c r="K91" s="364">
        <f t="shared" si="14"/>
        <v>0</v>
      </c>
    </row>
    <row r="92" spans="1:11" ht="16.5" customHeight="1" x14ac:dyDescent="0.25">
      <c r="A92" s="152">
        <v>1</v>
      </c>
      <c r="B92" s="153" t="s">
        <v>84</v>
      </c>
      <c r="C92" s="37">
        <v>51.8</v>
      </c>
      <c r="D92" s="155">
        <f t="shared" si="13"/>
        <v>51.8</v>
      </c>
      <c r="E92" s="37">
        <f t="shared" si="11"/>
        <v>0</v>
      </c>
      <c r="F92" s="37">
        <f t="shared" si="12"/>
        <v>4.1440000000000001</v>
      </c>
      <c r="G92" s="40">
        <v>44322</v>
      </c>
      <c r="H92" s="40">
        <v>44323</v>
      </c>
      <c r="I92" s="233"/>
      <c r="J92" s="369">
        <f>J90</f>
        <v>8.9399999999999993E-2</v>
      </c>
      <c r="K92" s="364">
        <f t="shared" si="14"/>
        <v>0</v>
      </c>
    </row>
    <row r="93" spans="1:11" ht="16.5" customHeight="1" x14ac:dyDescent="0.25">
      <c r="A93" s="152">
        <v>1</v>
      </c>
      <c r="B93" s="153" t="s">
        <v>85</v>
      </c>
      <c r="C93" s="37">
        <v>6.31</v>
      </c>
      <c r="D93" s="155">
        <f t="shared" si="13"/>
        <v>6.31</v>
      </c>
      <c r="E93" s="37">
        <f t="shared" si="11"/>
        <v>0</v>
      </c>
      <c r="F93" s="37">
        <f t="shared" si="12"/>
        <v>0.50480000000000003</v>
      </c>
      <c r="G93" s="40">
        <v>44322</v>
      </c>
      <c r="H93" s="40">
        <v>44323</v>
      </c>
      <c r="I93" s="233"/>
      <c r="J93" s="369">
        <f t="shared" si="10"/>
        <v>8.9399999999999993E-2</v>
      </c>
      <c r="K93" s="364">
        <f t="shared" si="14"/>
        <v>0</v>
      </c>
    </row>
    <row r="94" spans="1:11" ht="16.5" customHeight="1" x14ac:dyDescent="0.25">
      <c r="A94" s="152">
        <v>1</v>
      </c>
      <c r="B94" s="153" t="s">
        <v>87</v>
      </c>
      <c r="C94" s="37">
        <v>0.72</v>
      </c>
      <c r="D94" s="155">
        <f t="shared" si="13"/>
        <v>0.72</v>
      </c>
      <c r="E94" s="37">
        <f t="shared" si="11"/>
        <v>0</v>
      </c>
      <c r="F94" s="37">
        <f t="shared" si="12"/>
        <v>5.7599999999999998E-2</v>
      </c>
      <c r="G94" s="40">
        <v>44323</v>
      </c>
      <c r="H94" s="40">
        <v>44323</v>
      </c>
      <c r="I94" s="233"/>
      <c r="J94" s="369">
        <f>J93</f>
        <v>8.9399999999999993E-2</v>
      </c>
      <c r="K94" s="364">
        <f t="shared" si="14"/>
        <v>0</v>
      </c>
    </row>
    <row r="95" spans="1:11" ht="16.5" customHeight="1" x14ac:dyDescent="0.25">
      <c r="A95" s="152">
        <v>1</v>
      </c>
      <c r="B95" s="153" t="s">
        <v>88</v>
      </c>
      <c r="C95" s="37">
        <v>102.54</v>
      </c>
      <c r="D95" s="155">
        <f t="shared" si="13"/>
        <v>102.54</v>
      </c>
      <c r="E95" s="37">
        <f t="shared" si="11"/>
        <v>0</v>
      </c>
      <c r="F95" s="37">
        <f t="shared" si="12"/>
        <v>8.2032000000000007</v>
      </c>
      <c r="G95" s="40">
        <v>44322</v>
      </c>
      <c r="H95" s="40">
        <v>44323</v>
      </c>
      <c r="I95" s="233"/>
      <c r="J95" s="369">
        <f t="shared" si="10"/>
        <v>8.9399999999999993E-2</v>
      </c>
      <c r="K95" s="364">
        <f t="shared" si="14"/>
        <v>0</v>
      </c>
    </row>
    <row r="96" spans="1:11" ht="16.5" customHeight="1" x14ac:dyDescent="0.25">
      <c r="A96" s="152">
        <v>1</v>
      </c>
      <c r="B96" s="153" t="s">
        <v>89</v>
      </c>
      <c r="C96" s="37">
        <v>54.92</v>
      </c>
      <c r="D96" s="155">
        <f t="shared" si="13"/>
        <v>54.92</v>
      </c>
      <c r="E96" s="37">
        <f t="shared" si="11"/>
        <v>0</v>
      </c>
      <c r="F96" s="37">
        <f t="shared" si="12"/>
        <v>4.3936000000000002</v>
      </c>
      <c r="G96" s="40">
        <v>44322</v>
      </c>
      <c r="H96" s="40">
        <v>44323</v>
      </c>
      <c r="I96" s="233"/>
      <c r="J96" s="369">
        <f t="shared" si="10"/>
        <v>8.9399999999999993E-2</v>
      </c>
      <c r="K96" s="364">
        <f t="shared" si="14"/>
        <v>0</v>
      </c>
    </row>
    <row r="97" spans="1:17" ht="16.5" customHeight="1" x14ac:dyDescent="0.25">
      <c r="A97" s="152">
        <v>1</v>
      </c>
      <c r="B97" s="153" t="s">
        <v>113</v>
      </c>
      <c r="C97" s="37">
        <v>770.76</v>
      </c>
      <c r="D97" s="155">
        <f t="shared" si="13"/>
        <v>770.76</v>
      </c>
      <c r="E97" s="37">
        <f t="shared" si="11"/>
        <v>0</v>
      </c>
      <c r="F97" s="37">
        <f t="shared" si="12"/>
        <v>61.660800000000002</v>
      </c>
      <c r="G97" s="40">
        <v>44322</v>
      </c>
      <c r="H97" s="40">
        <v>44323</v>
      </c>
      <c r="I97" s="233"/>
      <c r="J97" s="369">
        <f t="shared" si="10"/>
        <v>8.9399999999999993E-2</v>
      </c>
      <c r="K97" s="364">
        <f t="shared" si="14"/>
        <v>0</v>
      </c>
    </row>
    <row r="98" spans="1:17" ht="16.5" customHeight="1" x14ac:dyDescent="0.25">
      <c r="A98" s="152">
        <v>1</v>
      </c>
      <c r="B98" s="153" t="s">
        <v>90</v>
      </c>
      <c r="C98" s="37">
        <v>6.65</v>
      </c>
      <c r="D98" s="155">
        <f t="shared" si="13"/>
        <v>6.65</v>
      </c>
      <c r="E98" s="37">
        <f t="shared" si="11"/>
        <v>0</v>
      </c>
      <c r="F98" s="37">
        <f t="shared" si="12"/>
        <v>0.53200000000000003</v>
      </c>
      <c r="G98" s="40">
        <v>44322</v>
      </c>
      <c r="H98" s="40">
        <v>44323</v>
      </c>
      <c r="I98" s="233"/>
      <c r="J98" s="369">
        <f t="shared" si="10"/>
        <v>8.9399999999999993E-2</v>
      </c>
      <c r="K98" s="364">
        <f t="shared" si="14"/>
        <v>0</v>
      </c>
    </row>
    <row r="99" spans="1:17" ht="16.5" customHeight="1" x14ac:dyDescent="0.25">
      <c r="A99" s="152">
        <v>1</v>
      </c>
      <c r="B99" s="153" t="s">
        <v>91</v>
      </c>
      <c r="C99" s="37">
        <v>2.97</v>
      </c>
      <c r="D99" s="155">
        <f t="shared" si="13"/>
        <v>2.97</v>
      </c>
      <c r="E99" s="37">
        <f t="shared" si="11"/>
        <v>0</v>
      </c>
      <c r="F99" s="37">
        <f t="shared" si="12"/>
        <v>0.23760000000000003</v>
      </c>
      <c r="G99" s="40">
        <v>44322</v>
      </c>
      <c r="H99" s="40">
        <v>44323</v>
      </c>
      <c r="I99" s="233"/>
      <c r="J99" s="369">
        <f t="shared" si="10"/>
        <v>8.9399999999999993E-2</v>
      </c>
      <c r="K99" s="364">
        <f t="shared" si="14"/>
        <v>0</v>
      </c>
    </row>
    <row r="100" spans="1:17" ht="16.5" customHeight="1" x14ac:dyDescent="0.25">
      <c r="A100" s="152">
        <v>1</v>
      </c>
      <c r="B100" s="153" t="s">
        <v>93</v>
      </c>
      <c r="C100" s="37">
        <v>51.27</v>
      </c>
      <c r="D100" s="155">
        <f t="shared" si="13"/>
        <v>51.27</v>
      </c>
      <c r="E100" s="37">
        <f t="shared" si="11"/>
        <v>0</v>
      </c>
      <c r="F100" s="37">
        <f t="shared" si="12"/>
        <v>4.1016000000000004</v>
      </c>
      <c r="G100" s="40">
        <v>44322</v>
      </c>
      <c r="H100" s="40">
        <v>44323</v>
      </c>
      <c r="I100" s="233"/>
      <c r="J100" s="369">
        <f>J99</f>
        <v>8.9399999999999993E-2</v>
      </c>
      <c r="K100" s="364">
        <f t="shared" ref="K100:K108" si="16">SUM(E100)*J100</f>
        <v>0</v>
      </c>
    </row>
    <row r="101" spans="1:17" ht="16.5" customHeight="1" x14ac:dyDescent="0.25">
      <c r="A101" s="152">
        <v>1</v>
      </c>
      <c r="B101" s="153" t="s">
        <v>94</v>
      </c>
      <c r="C101" s="37">
        <v>2738.71</v>
      </c>
      <c r="D101" s="155">
        <f t="shared" si="13"/>
        <v>2738.71</v>
      </c>
      <c r="E101" s="37">
        <f t="shared" si="11"/>
        <v>0</v>
      </c>
      <c r="F101" s="37">
        <f t="shared" si="12"/>
        <v>219.0968</v>
      </c>
      <c r="G101" s="40">
        <v>44323</v>
      </c>
      <c r="H101" s="40">
        <v>44323</v>
      </c>
      <c r="I101" s="233"/>
      <c r="J101" s="369">
        <f t="shared" ref="J101:J108" si="17">J100</f>
        <v>8.9399999999999993E-2</v>
      </c>
      <c r="K101" s="364">
        <f t="shared" si="16"/>
        <v>0</v>
      </c>
    </row>
    <row r="102" spans="1:17" ht="16.5" customHeight="1" x14ac:dyDescent="0.25">
      <c r="A102" s="152">
        <v>1</v>
      </c>
      <c r="B102" s="153" t="s">
        <v>95</v>
      </c>
      <c r="C102" s="37">
        <v>1649.06</v>
      </c>
      <c r="D102" s="155">
        <f t="shared" si="13"/>
        <v>1649.06</v>
      </c>
      <c r="E102" s="37">
        <f t="shared" si="11"/>
        <v>0</v>
      </c>
      <c r="F102" s="37">
        <f t="shared" si="12"/>
        <v>131.9248</v>
      </c>
      <c r="G102" s="40">
        <v>44326</v>
      </c>
      <c r="H102" s="40">
        <v>44323</v>
      </c>
      <c r="I102" s="233">
        <f t="shared" si="15"/>
        <v>3</v>
      </c>
      <c r="J102" s="369">
        <f t="shared" si="17"/>
        <v>8.9399999999999993E-2</v>
      </c>
      <c r="K102" s="364">
        <f t="shared" si="16"/>
        <v>0</v>
      </c>
    </row>
    <row r="103" spans="1:17" ht="16.5" customHeight="1" x14ac:dyDescent="0.25">
      <c r="A103" s="152">
        <v>1</v>
      </c>
      <c r="B103" s="154" t="s">
        <v>15</v>
      </c>
      <c r="C103" s="37">
        <v>5.62</v>
      </c>
      <c r="D103" s="155">
        <f>ROUND(C103*A103,2)</f>
        <v>5.62</v>
      </c>
      <c r="E103" s="37">
        <f>C103-D103</f>
        <v>0</v>
      </c>
      <c r="F103" s="37">
        <f t="shared" si="12"/>
        <v>0.4496</v>
      </c>
      <c r="G103" s="40">
        <v>44322</v>
      </c>
      <c r="H103" s="40">
        <v>44323</v>
      </c>
      <c r="I103" s="233"/>
      <c r="J103" s="369">
        <f t="shared" si="17"/>
        <v>8.9399999999999993E-2</v>
      </c>
      <c r="K103" s="364">
        <f t="shared" si="16"/>
        <v>0</v>
      </c>
    </row>
    <row r="104" spans="1:17" ht="16.5" customHeight="1" x14ac:dyDescent="0.25">
      <c r="A104" s="152">
        <v>1</v>
      </c>
      <c r="B104" s="153" t="s">
        <v>96</v>
      </c>
      <c r="C104" s="37">
        <v>0.53</v>
      </c>
      <c r="D104" s="155">
        <f t="shared" si="13"/>
        <v>0.53</v>
      </c>
      <c r="E104" s="37">
        <f t="shared" si="11"/>
        <v>0</v>
      </c>
      <c r="F104" s="37">
        <f t="shared" si="12"/>
        <v>4.24E-2</v>
      </c>
      <c r="G104" s="40">
        <v>44322</v>
      </c>
      <c r="H104" s="40">
        <v>44323</v>
      </c>
      <c r="I104" s="233"/>
      <c r="J104" s="369">
        <f t="shared" si="17"/>
        <v>8.9399999999999993E-2</v>
      </c>
      <c r="K104" s="364">
        <f t="shared" si="16"/>
        <v>0</v>
      </c>
    </row>
    <row r="105" spans="1:17" ht="16.5" customHeight="1" x14ac:dyDescent="0.25">
      <c r="A105" s="152">
        <v>1</v>
      </c>
      <c r="B105" s="153" t="s">
        <v>98</v>
      </c>
      <c r="C105" s="37">
        <v>2280.6799999999998</v>
      </c>
      <c r="D105" s="155">
        <v>0</v>
      </c>
      <c r="E105" s="37">
        <f>C105</f>
        <v>2280.6799999999998</v>
      </c>
      <c r="F105" s="37">
        <f t="shared" si="12"/>
        <v>182.45439999999999</v>
      </c>
      <c r="G105" s="40"/>
      <c r="H105" s="40">
        <v>44323</v>
      </c>
      <c r="I105" s="233"/>
      <c r="J105" s="369">
        <f>J104</f>
        <v>8.9399999999999993E-2</v>
      </c>
      <c r="K105" s="364">
        <f t="shared" si="16"/>
        <v>203.89279199999996</v>
      </c>
    </row>
    <row r="106" spans="1:17" ht="16.5" customHeight="1" x14ac:dyDescent="0.25">
      <c r="A106" s="152">
        <v>1</v>
      </c>
      <c r="B106" s="153" t="s">
        <v>99</v>
      </c>
      <c r="C106" s="37">
        <v>1533.01</v>
      </c>
      <c r="D106" s="155">
        <f t="shared" si="13"/>
        <v>1533.01</v>
      </c>
      <c r="E106" s="37">
        <f t="shared" si="11"/>
        <v>0</v>
      </c>
      <c r="F106" s="37">
        <f t="shared" si="12"/>
        <v>122.6408</v>
      </c>
      <c r="G106" s="40">
        <v>44322</v>
      </c>
      <c r="H106" s="40">
        <v>44323</v>
      </c>
      <c r="I106" s="233"/>
      <c r="J106" s="369">
        <f t="shared" si="17"/>
        <v>8.9399999999999993E-2</v>
      </c>
      <c r="K106" s="364">
        <f t="shared" si="16"/>
        <v>0</v>
      </c>
    </row>
    <row r="107" spans="1:17" ht="16.5" customHeight="1" x14ac:dyDescent="0.25">
      <c r="A107" s="152">
        <v>1</v>
      </c>
      <c r="B107" s="153" t="s">
        <v>100</v>
      </c>
      <c r="C107" s="37">
        <v>1494.29</v>
      </c>
      <c r="D107" s="155">
        <f t="shared" si="13"/>
        <v>1494.29</v>
      </c>
      <c r="E107" s="37">
        <f t="shared" si="11"/>
        <v>0</v>
      </c>
      <c r="F107" s="37">
        <f t="shared" si="12"/>
        <v>119.5432</v>
      </c>
      <c r="G107" s="40">
        <v>44322</v>
      </c>
      <c r="H107" s="40">
        <v>44323</v>
      </c>
      <c r="I107" s="233"/>
      <c r="J107" s="369">
        <f t="shared" si="17"/>
        <v>8.9399999999999993E-2</v>
      </c>
      <c r="K107" s="364">
        <f t="shared" si="16"/>
        <v>0</v>
      </c>
    </row>
    <row r="108" spans="1:17" ht="16.5" customHeight="1" x14ac:dyDescent="0.25">
      <c r="A108" s="152">
        <v>1</v>
      </c>
      <c r="B108" s="153" t="s">
        <v>101</v>
      </c>
      <c r="C108" s="37">
        <v>3.07</v>
      </c>
      <c r="D108" s="155">
        <f t="shared" si="13"/>
        <v>3.07</v>
      </c>
      <c r="E108" s="37">
        <f t="shared" si="11"/>
        <v>0</v>
      </c>
      <c r="F108" s="37">
        <f t="shared" si="12"/>
        <v>0.24559999999999998</v>
      </c>
      <c r="G108" s="40">
        <v>44322</v>
      </c>
      <c r="H108" s="40">
        <v>44323</v>
      </c>
      <c r="I108" s="233"/>
      <c r="J108" s="369">
        <f t="shared" si="17"/>
        <v>8.9399999999999993E-2</v>
      </c>
      <c r="K108" s="364">
        <f t="shared" si="16"/>
        <v>0</v>
      </c>
    </row>
    <row r="109" spans="1:17" ht="16.5" customHeight="1" x14ac:dyDescent="0.25">
      <c r="A109" s="199"/>
      <c r="B109" s="46" t="s">
        <v>162</v>
      </c>
      <c r="C109" s="46">
        <f>SUM(C40:C108)</f>
        <v>47105.340000000004</v>
      </c>
      <c r="D109" s="46">
        <f>SUM(D40:D108)</f>
        <v>44824.66</v>
      </c>
      <c r="E109" s="46">
        <f>SUM(E91:E108)</f>
        <v>2280.6799999999998</v>
      </c>
      <c r="F109" s="46">
        <f t="shared" si="12"/>
        <v>3768.4272000000005</v>
      </c>
      <c r="G109" s="200"/>
      <c r="H109" s="200"/>
      <c r="I109" s="200"/>
      <c r="J109" s="366"/>
      <c r="K109" s="370">
        <f>SUM(K40:K108)</f>
        <v>203.89279199999996</v>
      </c>
      <c r="Q109" s="144"/>
    </row>
    <row r="110" spans="1:17" s="143" customFormat="1" ht="17.25" customHeight="1" x14ac:dyDescent="0.25">
      <c r="A110" s="203"/>
      <c r="B110" s="215" t="s">
        <v>103</v>
      </c>
      <c r="C110" s="54">
        <f>SUM(C109+C39+C19)</f>
        <v>128165.03</v>
      </c>
      <c r="D110" s="54">
        <f>SUM(D109+D39+D19)</f>
        <v>100923.67000000001</v>
      </c>
      <c r="E110" s="54">
        <f>SUM(E109+E39+E19)</f>
        <v>27241.360000000001</v>
      </c>
      <c r="F110" s="228">
        <f t="shared" si="12"/>
        <v>10253.2024</v>
      </c>
      <c r="G110" s="216"/>
      <c r="H110" s="216"/>
      <c r="I110" s="216"/>
      <c r="J110" s="367"/>
      <c r="K110" s="406">
        <f>K109+K39+K19</f>
        <v>2435.3775839999994</v>
      </c>
      <c r="Q110" s="204"/>
    </row>
    <row r="111" spans="1:17" x14ac:dyDescent="0.25">
      <c r="D111" s="90"/>
      <c r="E111" s="90"/>
      <c r="F111" s="90"/>
    </row>
    <row r="112" spans="1:17" x14ac:dyDescent="0.25">
      <c r="B112" s="97"/>
      <c r="C112" s="91"/>
      <c r="D112" s="97"/>
      <c r="E112" s="97"/>
      <c r="F112" s="97"/>
      <c r="G112" s="144"/>
      <c r="H112" s="144"/>
      <c r="I112" s="144"/>
      <c r="J112" s="144"/>
      <c r="K112" s="144"/>
    </row>
    <row r="113" spans="2:11" x14ac:dyDescent="0.25">
      <c r="B113" s="97"/>
      <c r="C113" s="97"/>
      <c r="D113" s="97"/>
      <c r="E113" s="97"/>
      <c r="F113" s="97"/>
      <c r="G113" s="142"/>
      <c r="H113" s="142"/>
      <c r="I113" s="142"/>
      <c r="J113" s="142"/>
      <c r="K113" s="142"/>
    </row>
    <row r="114" spans="2:11" x14ac:dyDescent="0.25">
      <c r="B114" s="97"/>
      <c r="C114" s="97"/>
      <c r="D114" s="97"/>
      <c r="E114" s="97"/>
      <c r="F114" s="97"/>
      <c r="G114" s="99"/>
      <c r="H114" s="99"/>
      <c r="I114" s="99"/>
      <c r="J114" s="99"/>
      <c r="K114" s="99"/>
    </row>
    <row r="115" spans="2:11" x14ac:dyDescent="0.25">
      <c r="B115" s="97"/>
      <c r="C115" s="97"/>
      <c r="D115" s="97"/>
      <c r="E115" s="97"/>
      <c r="F115" s="97"/>
    </row>
    <row r="116" spans="2:11" x14ac:dyDescent="0.25">
      <c r="B116" s="97"/>
      <c r="C116" s="97"/>
      <c r="D116" s="97"/>
      <c r="E116" s="97"/>
      <c r="F116" s="97"/>
    </row>
    <row r="117" spans="2:11" x14ac:dyDescent="0.25">
      <c r="B117" s="97"/>
      <c r="C117" s="97"/>
      <c r="D117" s="97"/>
      <c r="E117" s="97"/>
      <c r="F117" s="97"/>
    </row>
    <row r="118" spans="2:11" x14ac:dyDescent="0.25">
      <c r="B118" s="97"/>
      <c r="C118" s="97"/>
      <c r="D118" s="97"/>
      <c r="E118" s="97"/>
      <c r="F118" s="97"/>
    </row>
    <row r="119" spans="2:11" x14ac:dyDescent="0.25">
      <c r="B119" s="97"/>
      <c r="C119" s="97"/>
      <c r="D119" s="97"/>
      <c r="E119" s="97"/>
      <c r="F119" s="97"/>
    </row>
  </sheetData>
  <autoFilter ref="A4:K109" xr:uid="{00000000-0009-0000-0000-000000000000}"/>
  <pageMargins left="0.51181102362204722" right="0.51181102362204722" top="0.47244094488188981" bottom="0.47244094488188981" header="0.31496062992125984" footer="0.31496062992125984"/>
  <pageSetup paperSize="9" scale="5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A5353-2127-4060-A03E-F537C7EEDC11}">
  <sheetPr>
    <tabColor rgb="FF00B050"/>
    <pageSetUpPr fitToPage="1"/>
  </sheetPr>
  <dimension ref="A1:T117"/>
  <sheetViews>
    <sheetView showGridLines="0" topLeftCell="B1" workbookViewId="0">
      <selection activeCell="X15" sqref="X15"/>
    </sheetView>
  </sheetViews>
  <sheetFormatPr defaultRowHeight="15" x14ac:dyDescent="0.25"/>
  <cols>
    <col min="1" max="1" width="10.42578125" style="138" hidden="1" customWidth="1"/>
    <col min="2" max="2" width="9.85546875" style="138" customWidth="1"/>
    <col min="3" max="3" width="44.7109375" style="138" bestFit="1" customWidth="1"/>
    <col min="4" max="4" width="13.7109375" style="90" customWidth="1"/>
    <col min="5" max="5" width="13.7109375" style="100" customWidth="1"/>
    <col min="6" max="6" width="13.140625" style="100" customWidth="1"/>
    <col min="7" max="7" width="11" style="100" customWidth="1"/>
    <col min="8" max="8" width="10.28515625" style="138" hidden="1" customWidth="1"/>
    <col min="9" max="9" width="11.140625" style="138" hidden="1" customWidth="1"/>
    <col min="10" max="10" width="13.85546875" style="138" hidden="1" customWidth="1"/>
    <col min="11" max="11" width="12.5703125" style="138" hidden="1" customWidth="1"/>
    <col min="12" max="14" width="16.5703125" style="138" hidden="1" customWidth="1"/>
    <col min="15" max="15" width="19.7109375" style="138" hidden="1" customWidth="1"/>
    <col min="16" max="16" width="17.85546875" style="138" hidden="1" customWidth="1"/>
    <col min="17" max="17" width="10.5703125" style="138" hidden="1" customWidth="1"/>
    <col min="18" max="19" width="9.140625" style="138" hidden="1" customWidth="1"/>
    <col min="20" max="20" width="12.7109375" style="138" hidden="1" customWidth="1"/>
    <col min="21" max="16384" width="9.140625" style="138"/>
  </cols>
  <sheetData>
    <row r="1" spans="1:17" ht="15.75" x14ac:dyDescent="0.25">
      <c r="A1" s="145"/>
      <c r="B1" s="194"/>
      <c r="C1" s="146" t="s">
        <v>141</v>
      </c>
      <c r="D1" s="103"/>
      <c r="E1" s="103"/>
      <c r="F1" s="104"/>
      <c r="G1" s="104"/>
      <c r="H1" s="105"/>
      <c r="I1" s="105"/>
      <c r="J1" s="105"/>
      <c r="K1" s="105"/>
      <c r="L1" s="105"/>
      <c r="M1" s="105"/>
      <c r="N1" s="105"/>
      <c r="O1" s="105"/>
      <c r="P1" s="106"/>
    </row>
    <row r="2" spans="1:17" ht="15.75" x14ac:dyDescent="0.25">
      <c r="A2" s="147"/>
      <c r="B2" s="195"/>
      <c r="C2" s="137" t="s">
        <v>187</v>
      </c>
      <c r="D2" s="15"/>
      <c r="E2" s="11"/>
      <c r="F2" s="11"/>
      <c r="G2" s="11"/>
      <c r="H2" s="90"/>
      <c r="I2" s="90"/>
      <c r="J2" s="90"/>
      <c r="K2" s="90"/>
      <c r="L2" s="90"/>
      <c r="M2" s="90"/>
      <c r="N2" s="90"/>
      <c r="O2" s="90"/>
      <c r="P2" s="108"/>
    </row>
    <row r="3" spans="1:17" ht="15.75" x14ac:dyDescent="0.25">
      <c r="A3" s="148"/>
      <c r="B3" s="196"/>
      <c r="C3" s="149" t="s">
        <v>203</v>
      </c>
      <c r="D3" s="111"/>
      <c r="E3" s="112"/>
      <c r="F3" s="112"/>
      <c r="G3" s="112"/>
      <c r="H3" s="113"/>
      <c r="I3" s="113"/>
      <c r="J3" s="113"/>
      <c r="K3" s="113"/>
      <c r="L3" s="113"/>
      <c r="M3" s="113"/>
      <c r="N3" s="113"/>
      <c r="O3" s="113"/>
      <c r="P3" s="114"/>
    </row>
    <row r="4" spans="1:17" s="139" customFormat="1" ht="42.75" customHeight="1" x14ac:dyDescent="0.25">
      <c r="A4" s="278" t="s">
        <v>142</v>
      </c>
      <c r="B4" s="150" t="s">
        <v>218</v>
      </c>
      <c r="C4" s="151" t="s">
        <v>144</v>
      </c>
      <c r="D4" s="39" t="s">
        <v>140</v>
      </c>
      <c r="E4" s="38" t="s">
        <v>145</v>
      </c>
      <c r="F4" s="39" t="s">
        <v>146</v>
      </c>
      <c r="G4" s="39" t="s">
        <v>212</v>
      </c>
      <c r="H4" s="39" t="s">
        <v>147</v>
      </c>
      <c r="I4" s="39" t="s">
        <v>213</v>
      </c>
      <c r="J4" s="39" t="s">
        <v>214</v>
      </c>
      <c r="K4" s="361" t="s">
        <v>252</v>
      </c>
      <c r="L4" s="361" t="s">
        <v>256</v>
      </c>
      <c r="M4" s="361"/>
      <c r="N4" s="361"/>
      <c r="O4" s="270" t="s">
        <v>148</v>
      </c>
      <c r="P4" s="39" t="s">
        <v>149</v>
      </c>
    </row>
    <row r="5" spans="1:17" ht="16.5" customHeight="1" x14ac:dyDescent="0.25">
      <c r="A5" s="279">
        <v>4855</v>
      </c>
      <c r="B5" s="152">
        <v>0.65</v>
      </c>
      <c r="C5" s="154" t="s">
        <v>1</v>
      </c>
      <c r="D5" s="37">
        <v>3858.8</v>
      </c>
      <c r="E5" s="155">
        <f>ROUND(D5*B5,2)</f>
        <v>2508.2199999999998</v>
      </c>
      <c r="F5" s="37">
        <f>D5-E5</f>
        <v>1350.5800000000004</v>
      </c>
      <c r="G5" s="37">
        <f t="shared" ref="G5:G16" si="0">D5*8%</f>
        <v>308.70400000000001</v>
      </c>
      <c r="H5" s="40">
        <v>44382</v>
      </c>
      <c r="I5" s="40">
        <v>44354</v>
      </c>
      <c r="J5" s="233">
        <f t="shared" ref="J5:J65" si="1">H5-I5</f>
        <v>28</v>
      </c>
      <c r="K5" s="368">
        <v>8.6699999999999999E-2</v>
      </c>
      <c r="L5" s="364">
        <f t="shared" ref="L5:L16" si="2">SUM(F5)*K5</f>
        <v>117.09528600000003</v>
      </c>
      <c r="M5" s="364"/>
      <c r="N5" s="364"/>
      <c r="O5" s="271" t="s">
        <v>150</v>
      </c>
      <c r="P5" s="115" t="s">
        <v>152</v>
      </c>
    </row>
    <row r="6" spans="1:17" ht="16.5" customHeight="1" x14ac:dyDescent="0.25">
      <c r="A6" s="279">
        <v>4724</v>
      </c>
      <c r="B6" s="152">
        <v>0.65</v>
      </c>
      <c r="C6" s="153" t="s">
        <v>3</v>
      </c>
      <c r="D6" s="37">
        <v>3625.95</v>
      </c>
      <c r="E6" s="155">
        <f t="shared" ref="E6:E66" si="3">ROUND(D6*B6,2)</f>
        <v>2356.87</v>
      </c>
      <c r="F6" s="37">
        <f t="shared" ref="F6:F62" si="4">D6-E6</f>
        <v>1269.08</v>
      </c>
      <c r="G6" s="37">
        <f t="shared" si="0"/>
        <v>290.07599999999996</v>
      </c>
      <c r="H6" s="116">
        <v>44355</v>
      </c>
      <c r="I6" s="40">
        <v>44354</v>
      </c>
      <c r="J6" s="233">
        <f t="shared" si="1"/>
        <v>1</v>
      </c>
      <c r="K6" s="368">
        <v>8.6699999999999999E-2</v>
      </c>
      <c r="L6" s="364">
        <f t="shared" si="2"/>
        <v>110.029236</v>
      </c>
      <c r="M6" s="364"/>
      <c r="N6" s="364"/>
      <c r="O6" s="271" t="s">
        <v>150</v>
      </c>
      <c r="P6" s="115" t="s">
        <v>151</v>
      </c>
    </row>
    <row r="7" spans="1:17" ht="16.5" customHeight="1" x14ac:dyDescent="0.25">
      <c r="A7" s="279">
        <v>4566</v>
      </c>
      <c r="B7" s="152">
        <v>0.65</v>
      </c>
      <c r="C7" s="154" t="s">
        <v>4</v>
      </c>
      <c r="D7" s="37">
        <v>4186.9799999999996</v>
      </c>
      <c r="E7" s="155">
        <f t="shared" si="3"/>
        <v>2721.54</v>
      </c>
      <c r="F7" s="37">
        <f t="shared" si="4"/>
        <v>1465.4399999999996</v>
      </c>
      <c r="G7" s="37">
        <f t="shared" si="0"/>
        <v>334.95839999999998</v>
      </c>
      <c r="H7" s="40">
        <v>44357</v>
      </c>
      <c r="I7" s="40">
        <v>44354</v>
      </c>
      <c r="J7" s="233">
        <f t="shared" si="1"/>
        <v>3</v>
      </c>
      <c r="K7" s="368">
        <v>8.6699999999999999E-2</v>
      </c>
      <c r="L7" s="364">
        <f t="shared" si="2"/>
        <v>127.05364799999997</v>
      </c>
      <c r="M7" s="364"/>
      <c r="N7" s="364"/>
      <c r="O7" s="271" t="s">
        <v>150</v>
      </c>
      <c r="P7" s="115" t="s">
        <v>152</v>
      </c>
    </row>
    <row r="8" spans="1:17" ht="16.5" customHeight="1" x14ac:dyDescent="0.25">
      <c r="A8" s="279">
        <v>5013</v>
      </c>
      <c r="B8" s="152">
        <v>0.65</v>
      </c>
      <c r="C8" s="153" t="s">
        <v>5</v>
      </c>
      <c r="D8" s="37">
        <v>5286.9</v>
      </c>
      <c r="E8" s="155">
        <v>2000</v>
      </c>
      <c r="F8" s="37">
        <f>D8-E8-E9</f>
        <v>1850.4099999999999</v>
      </c>
      <c r="G8" s="37">
        <f t="shared" si="0"/>
        <v>422.952</v>
      </c>
      <c r="H8" s="116">
        <v>44356</v>
      </c>
      <c r="I8" s="40">
        <v>44354</v>
      </c>
      <c r="J8" s="233">
        <f t="shared" si="1"/>
        <v>2</v>
      </c>
      <c r="K8" s="368">
        <v>8.6699999999999999E-2</v>
      </c>
      <c r="L8" s="364">
        <f t="shared" si="2"/>
        <v>160.43054699999999</v>
      </c>
      <c r="M8" s="364"/>
      <c r="N8" s="364"/>
      <c r="O8" s="271" t="s">
        <v>158</v>
      </c>
      <c r="P8" s="115" t="s">
        <v>152</v>
      </c>
    </row>
    <row r="9" spans="1:17" ht="16.5" customHeight="1" x14ac:dyDescent="0.25">
      <c r="A9" s="279">
        <v>5013</v>
      </c>
      <c r="B9" s="152">
        <v>0.65</v>
      </c>
      <c r="C9" s="153" t="s">
        <v>5</v>
      </c>
      <c r="D9" s="37">
        <v>0</v>
      </c>
      <c r="E9" s="155">
        <f>ROUND(D8*B8,2)-2000</f>
        <v>1436.4899999999998</v>
      </c>
      <c r="F9" s="37">
        <v>0</v>
      </c>
      <c r="G9" s="37">
        <f t="shared" si="0"/>
        <v>0</v>
      </c>
      <c r="H9" s="116">
        <v>44361</v>
      </c>
      <c r="I9" s="40">
        <v>44354</v>
      </c>
      <c r="J9" s="233">
        <f t="shared" si="1"/>
        <v>7</v>
      </c>
      <c r="K9" s="368">
        <v>8.6699999999999999E-2</v>
      </c>
      <c r="L9" s="364">
        <f t="shared" si="2"/>
        <v>0</v>
      </c>
      <c r="M9" s="364"/>
      <c r="N9" s="364"/>
      <c r="O9" s="271" t="s">
        <v>150</v>
      </c>
      <c r="P9" s="115" t="s">
        <v>151</v>
      </c>
    </row>
    <row r="10" spans="1:17" ht="16.5" customHeight="1" x14ac:dyDescent="0.25">
      <c r="A10" s="279">
        <v>4677</v>
      </c>
      <c r="B10" s="152">
        <v>0.65</v>
      </c>
      <c r="C10" s="154" t="s">
        <v>6</v>
      </c>
      <c r="D10" s="37">
        <v>3357.95</v>
      </c>
      <c r="E10" s="155">
        <f t="shared" si="3"/>
        <v>2182.67</v>
      </c>
      <c r="F10" s="37">
        <f t="shared" si="4"/>
        <v>1175.2799999999997</v>
      </c>
      <c r="G10" s="37">
        <f t="shared" si="0"/>
        <v>268.63599999999997</v>
      </c>
      <c r="H10" s="40">
        <v>44356</v>
      </c>
      <c r="I10" s="40">
        <v>44354</v>
      </c>
      <c r="J10" s="233">
        <f t="shared" si="1"/>
        <v>2</v>
      </c>
      <c r="K10" s="368">
        <v>8.6699999999999999E-2</v>
      </c>
      <c r="L10" s="364">
        <f t="shared" si="2"/>
        <v>101.89677599999997</v>
      </c>
      <c r="M10" s="364"/>
      <c r="N10" s="364"/>
      <c r="O10" s="271" t="s">
        <v>158</v>
      </c>
      <c r="P10" s="115" t="s">
        <v>151</v>
      </c>
    </row>
    <row r="11" spans="1:17" ht="16.5" customHeight="1" x14ac:dyDescent="0.25">
      <c r="A11" s="280">
        <v>4618</v>
      </c>
      <c r="B11" s="152">
        <v>0.65</v>
      </c>
      <c r="C11" s="154" t="s">
        <v>8</v>
      </c>
      <c r="D11" s="37">
        <v>3210.09</v>
      </c>
      <c r="E11" s="155">
        <v>0</v>
      </c>
      <c r="F11" s="37">
        <f>D11</f>
        <v>3210.09</v>
      </c>
      <c r="G11" s="37">
        <f t="shared" si="0"/>
        <v>256.80720000000002</v>
      </c>
      <c r="H11" s="40"/>
      <c r="I11" s="40">
        <v>44354</v>
      </c>
      <c r="J11" s="233">
        <v>0</v>
      </c>
      <c r="K11" s="368">
        <v>8.6699999999999999E-2</v>
      </c>
      <c r="L11" s="364">
        <f t="shared" si="2"/>
        <v>278.31480299999998</v>
      </c>
      <c r="M11" s="364"/>
      <c r="N11" s="364"/>
      <c r="O11" s="271" t="s">
        <v>158</v>
      </c>
      <c r="P11" s="115" t="s">
        <v>152</v>
      </c>
      <c r="Q11" s="140" t="s">
        <v>185</v>
      </c>
    </row>
    <row r="12" spans="1:17" ht="16.5" customHeight="1" x14ac:dyDescent="0.25">
      <c r="A12" s="279">
        <v>2380</v>
      </c>
      <c r="B12" s="152">
        <v>0.65</v>
      </c>
      <c r="C12" s="154" t="s">
        <v>9</v>
      </c>
      <c r="D12" s="37">
        <v>3842.33</v>
      </c>
      <c r="E12" s="155">
        <f t="shared" si="3"/>
        <v>2497.5100000000002</v>
      </c>
      <c r="F12" s="37">
        <f t="shared" si="4"/>
        <v>1344.8199999999997</v>
      </c>
      <c r="G12" s="37">
        <f t="shared" si="0"/>
        <v>307.38639999999998</v>
      </c>
      <c r="H12" s="40">
        <v>44379</v>
      </c>
      <c r="I12" s="40">
        <v>44354</v>
      </c>
      <c r="J12" s="233">
        <f t="shared" si="1"/>
        <v>25</v>
      </c>
      <c r="K12" s="368">
        <v>8.6699999999999999E-2</v>
      </c>
      <c r="L12" s="364">
        <f t="shared" si="2"/>
        <v>116.59589399999997</v>
      </c>
      <c r="M12" s="364"/>
      <c r="N12" s="364"/>
      <c r="O12" s="271" t="s">
        <v>158</v>
      </c>
      <c r="P12" s="115" t="s">
        <v>152</v>
      </c>
    </row>
    <row r="13" spans="1:17" ht="16.5" customHeight="1" x14ac:dyDescent="0.25">
      <c r="A13" s="280">
        <v>2429</v>
      </c>
      <c r="B13" s="152">
        <v>0.65</v>
      </c>
      <c r="C13" s="154" t="s">
        <v>11</v>
      </c>
      <c r="D13" s="37">
        <v>2214.96</v>
      </c>
      <c r="E13" s="155">
        <v>0</v>
      </c>
      <c r="F13" s="37">
        <f>D13</f>
        <v>2214.96</v>
      </c>
      <c r="G13" s="37">
        <f t="shared" si="0"/>
        <v>177.1968</v>
      </c>
      <c r="H13" s="40"/>
      <c r="I13" s="40">
        <v>44354</v>
      </c>
      <c r="J13" s="233">
        <v>0</v>
      </c>
      <c r="K13" s="368">
        <v>8.6699999999999999E-2</v>
      </c>
      <c r="L13" s="364">
        <f t="shared" si="2"/>
        <v>192.03703200000001</v>
      </c>
      <c r="M13" s="364"/>
      <c r="N13" s="364"/>
      <c r="O13" s="271" t="s">
        <v>150</v>
      </c>
      <c r="P13" s="115" t="s">
        <v>152</v>
      </c>
      <c r="Q13" s="140" t="s">
        <v>185</v>
      </c>
    </row>
    <row r="14" spans="1:17" ht="16.5" customHeight="1" x14ac:dyDescent="0.25">
      <c r="A14" s="279">
        <v>1520</v>
      </c>
      <c r="B14" s="152">
        <v>0.65</v>
      </c>
      <c r="C14" s="154" t="s">
        <v>12</v>
      </c>
      <c r="D14" s="37">
        <v>1309.07</v>
      </c>
      <c r="E14" s="155">
        <f>ROUND(D14*B14,2)</f>
        <v>850.9</v>
      </c>
      <c r="F14" s="37">
        <f>D14-E14</f>
        <v>458.16999999999996</v>
      </c>
      <c r="G14" s="37">
        <f t="shared" si="0"/>
        <v>104.7256</v>
      </c>
      <c r="H14" s="40">
        <v>44382</v>
      </c>
      <c r="I14" s="40">
        <v>44354</v>
      </c>
      <c r="J14" s="233">
        <f t="shared" si="1"/>
        <v>28</v>
      </c>
      <c r="K14" s="368">
        <v>8.6699999999999999E-2</v>
      </c>
      <c r="L14" s="364">
        <f t="shared" si="2"/>
        <v>39.723338999999996</v>
      </c>
      <c r="M14" s="364"/>
      <c r="N14" s="364"/>
      <c r="O14" s="271" t="s">
        <v>150</v>
      </c>
      <c r="P14" s="115" t="s">
        <v>168</v>
      </c>
    </row>
    <row r="15" spans="1:17" ht="16.5" customHeight="1" x14ac:dyDescent="0.25">
      <c r="A15" s="279">
        <v>4863</v>
      </c>
      <c r="B15" s="152">
        <v>0.65</v>
      </c>
      <c r="C15" s="154" t="s">
        <v>13</v>
      </c>
      <c r="D15" s="37">
        <v>2918.45</v>
      </c>
      <c r="E15" s="155">
        <f t="shared" si="3"/>
        <v>1896.99</v>
      </c>
      <c r="F15" s="37">
        <f t="shared" si="4"/>
        <v>1021.4599999999998</v>
      </c>
      <c r="G15" s="37">
        <f t="shared" si="0"/>
        <v>233.476</v>
      </c>
      <c r="H15" s="40">
        <v>44382</v>
      </c>
      <c r="I15" s="40">
        <v>44354</v>
      </c>
      <c r="J15" s="233">
        <f t="shared" si="1"/>
        <v>28</v>
      </c>
      <c r="K15" s="368">
        <v>8.6699999999999999E-2</v>
      </c>
      <c r="L15" s="364">
        <f t="shared" si="2"/>
        <v>88.560581999999982</v>
      </c>
      <c r="M15" s="364"/>
      <c r="N15" s="364"/>
      <c r="O15" s="271" t="s">
        <v>150</v>
      </c>
      <c r="P15" s="115" t="s">
        <v>154</v>
      </c>
    </row>
    <row r="16" spans="1:17" ht="16.5" customHeight="1" x14ac:dyDescent="0.25">
      <c r="A16" s="279">
        <v>4816</v>
      </c>
      <c r="B16" s="152">
        <v>0.65</v>
      </c>
      <c r="C16" s="154" t="s">
        <v>104</v>
      </c>
      <c r="D16" s="37">
        <v>2452.69</v>
      </c>
      <c r="E16" s="155">
        <f t="shared" si="3"/>
        <v>1594.25</v>
      </c>
      <c r="F16" s="37">
        <f t="shared" si="4"/>
        <v>858.44</v>
      </c>
      <c r="G16" s="37">
        <f t="shared" si="0"/>
        <v>196.21520000000001</v>
      </c>
      <c r="H16" s="40">
        <v>44356</v>
      </c>
      <c r="I16" s="40">
        <v>44354</v>
      </c>
      <c r="J16" s="233">
        <f t="shared" si="1"/>
        <v>2</v>
      </c>
      <c r="K16" s="368">
        <v>8.6699999999999999E-2</v>
      </c>
      <c r="L16" s="364">
        <f t="shared" si="2"/>
        <v>74.426748000000003</v>
      </c>
      <c r="M16" s="364"/>
      <c r="N16" s="364"/>
      <c r="O16" s="271" t="s">
        <v>158</v>
      </c>
      <c r="P16" s="115" t="s">
        <v>151</v>
      </c>
    </row>
    <row r="17" spans="1:17" ht="16.5" customHeight="1" x14ac:dyDescent="0.25">
      <c r="A17" s="279"/>
      <c r="B17" s="199"/>
      <c r="C17" s="46" t="s">
        <v>156</v>
      </c>
      <c r="D17" s="46">
        <f>SUM(D5:D16)</f>
        <v>36264.17</v>
      </c>
      <c r="E17" s="46">
        <f>SUM(E5:E16)</f>
        <v>20045.440000000002</v>
      </c>
      <c r="F17" s="46">
        <f>SUM(F5:F16)</f>
        <v>16218.73</v>
      </c>
      <c r="G17" s="46">
        <f>SUM(G5:G16)</f>
        <v>2901.1336000000006</v>
      </c>
      <c r="H17" s="200"/>
      <c r="I17" s="200"/>
      <c r="J17" s="235"/>
      <c r="K17" s="366"/>
      <c r="L17" s="370">
        <f>SUM(L5:L16)</f>
        <v>1406.1638909999999</v>
      </c>
      <c r="M17" s="370"/>
      <c r="N17" s="370"/>
      <c r="O17" s="300"/>
      <c r="P17" s="205"/>
      <c r="Q17" s="144"/>
    </row>
    <row r="18" spans="1:17" ht="16.5" customHeight="1" x14ac:dyDescent="0.25">
      <c r="A18" s="279">
        <v>5014</v>
      </c>
      <c r="B18" s="152">
        <v>0.8</v>
      </c>
      <c r="C18" s="153" t="s">
        <v>19</v>
      </c>
      <c r="D18" s="37">
        <v>3138.56</v>
      </c>
      <c r="E18" s="38">
        <f>ROUND(D18*B18,2)</f>
        <v>2510.85</v>
      </c>
      <c r="F18" s="39">
        <f>D18-E18</f>
        <v>627.71</v>
      </c>
      <c r="G18" s="37">
        <f t="shared" ref="G18:G35" si="5">D18*8%</f>
        <v>251.0848</v>
      </c>
      <c r="H18" s="40">
        <v>44356</v>
      </c>
      <c r="I18" s="40">
        <v>44354</v>
      </c>
      <c r="J18" s="233">
        <f t="shared" si="1"/>
        <v>2</v>
      </c>
      <c r="K18" s="368">
        <f>K16</f>
        <v>8.6699999999999999E-2</v>
      </c>
      <c r="L18" s="364">
        <f t="shared" ref="L18:L35" si="6">SUM(F18)*K18</f>
        <v>54.422457000000001</v>
      </c>
      <c r="M18" s="364"/>
      <c r="N18" s="364"/>
      <c r="O18" s="271" t="s">
        <v>158</v>
      </c>
      <c r="P18" s="115" t="s">
        <v>151</v>
      </c>
    </row>
    <row r="19" spans="1:17" ht="16.5" customHeight="1" x14ac:dyDescent="0.25">
      <c r="A19" s="279">
        <v>4637</v>
      </c>
      <c r="B19" s="152">
        <v>0.8</v>
      </c>
      <c r="C19" s="153" t="s">
        <v>20</v>
      </c>
      <c r="D19" s="37">
        <v>1583.82</v>
      </c>
      <c r="E19" s="38">
        <f>ROUND(D19*B19,2)</f>
        <v>1267.06</v>
      </c>
      <c r="F19" s="39">
        <f>D19-E19</f>
        <v>316.76</v>
      </c>
      <c r="G19" s="37">
        <f t="shared" si="5"/>
        <v>126.7056</v>
      </c>
      <c r="H19" s="116">
        <v>44384</v>
      </c>
      <c r="I19" s="40">
        <v>44354</v>
      </c>
      <c r="J19" s="233">
        <f t="shared" si="1"/>
        <v>30</v>
      </c>
      <c r="K19" s="368">
        <f>K18</f>
        <v>8.6699999999999999E-2</v>
      </c>
      <c r="L19" s="364">
        <f t="shared" si="6"/>
        <v>27.463092</v>
      </c>
      <c r="M19" s="364"/>
      <c r="N19" s="364"/>
      <c r="O19" s="271" t="s">
        <v>158</v>
      </c>
      <c r="P19" s="115" t="s">
        <v>159</v>
      </c>
      <c r="Q19" s="140"/>
    </row>
    <row r="20" spans="1:17" ht="16.5" customHeight="1" x14ac:dyDescent="0.25">
      <c r="A20" s="279">
        <v>4749</v>
      </c>
      <c r="B20" s="152">
        <v>0.8</v>
      </c>
      <c r="C20" s="153" t="s">
        <v>21</v>
      </c>
      <c r="D20" s="37">
        <v>1047.02</v>
      </c>
      <c r="E20" s="38">
        <f t="shared" ref="E20:E34" si="7">ROUND(D20*B20,2)</f>
        <v>837.62</v>
      </c>
      <c r="F20" s="39">
        <f t="shared" si="4"/>
        <v>209.39999999999998</v>
      </c>
      <c r="G20" s="37">
        <f t="shared" si="5"/>
        <v>83.761600000000001</v>
      </c>
      <c r="H20" s="116">
        <v>44355</v>
      </c>
      <c r="I20" s="40">
        <v>44354</v>
      </c>
      <c r="J20" s="233">
        <f t="shared" si="1"/>
        <v>1</v>
      </c>
      <c r="K20" s="368">
        <f>K19</f>
        <v>8.6699999999999999E-2</v>
      </c>
      <c r="L20" s="364">
        <f t="shared" si="6"/>
        <v>18.154979999999998</v>
      </c>
      <c r="M20" s="364"/>
      <c r="N20" s="364"/>
      <c r="O20" s="271" t="s">
        <v>158</v>
      </c>
      <c r="P20" s="115" t="s">
        <v>152</v>
      </c>
    </row>
    <row r="21" spans="1:17" ht="16.5" customHeight="1" x14ac:dyDescent="0.25">
      <c r="A21" s="279">
        <v>4997</v>
      </c>
      <c r="B21" s="152">
        <v>0.8</v>
      </c>
      <c r="C21" s="153" t="s">
        <v>22</v>
      </c>
      <c r="D21" s="37">
        <v>1263</v>
      </c>
      <c r="E21" s="38">
        <f t="shared" si="7"/>
        <v>1010.4</v>
      </c>
      <c r="F21" s="39">
        <f t="shared" si="4"/>
        <v>252.60000000000002</v>
      </c>
      <c r="G21" s="37">
        <f t="shared" si="5"/>
        <v>101.04</v>
      </c>
      <c r="H21" s="116">
        <v>44355</v>
      </c>
      <c r="I21" s="40">
        <v>44354</v>
      </c>
      <c r="J21" s="233">
        <f t="shared" si="1"/>
        <v>1</v>
      </c>
      <c r="K21" s="368">
        <f t="shared" ref="K21:K35" si="8">K18</f>
        <v>8.6699999999999999E-2</v>
      </c>
      <c r="L21" s="364">
        <f t="shared" si="6"/>
        <v>21.90042</v>
      </c>
      <c r="M21" s="364"/>
      <c r="N21" s="364"/>
      <c r="O21" s="271" t="s">
        <v>158</v>
      </c>
      <c r="P21" s="115" t="s">
        <v>152</v>
      </c>
    </row>
    <row r="22" spans="1:17" ht="16.5" customHeight="1" x14ac:dyDescent="0.25">
      <c r="A22" s="279">
        <v>4909</v>
      </c>
      <c r="B22" s="152">
        <v>0.8</v>
      </c>
      <c r="C22" s="153" t="s">
        <v>23</v>
      </c>
      <c r="D22" s="37">
        <v>3994.26</v>
      </c>
      <c r="E22" s="38">
        <f t="shared" si="7"/>
        <v>3195.41</v>
      </c>
      <c r="F22" s="39">
        <f t="shared" si="4"/>
        <v>798.85000000000036</v>
      </c>
      <c r="G22" s="37">
        <f t="shared" si="5"/>
        <v>319.54080000000005</v>
      </c>
      <c r="H22" s="116">
        <v>44358</v>
      </c>
      <c r="I22" s="40">
        <v>44354</v>
      </c>
      <c r="J22" s="233">
        <f t="shared" si="1"/>
        <v>4</v>
      </c>
      <c r="K22" s="368">
        <f t="shared" si="8"/>
        <v>8.6699999999999999E-2</v>
      </c>
      <c r="L22" s="364">
        <f t="shared" si="6"/>
        <v>69.260295000000028</v>
      </c>
      <c r="M22" s="364"/>
      <c r="N22" s="364"/>
      <c r="O22" s="271" t="s">
        <v>150</v>
      </c>
      <c r="P22" s="115" t="s">
        <v>173</v>
      </c>
    </row>
    <row r="23" spans="1:17" ht="16.5" customHeight="1" x14ac:dyDescent="0.25">
      <c r="A23" s="279">
        <v>4881</v>
      </c>
      <c r="B23" s="152">
        <v>0.8</v>
      </c>
      <c r="C23" s="154" t="s">
        <v>24</v>
      </c>
      <c r="D23" s="37">
        <v>742.12</v>
      </c>
      <c r="E23" s="38">
        <f t="shared" si="7"/>
        <v>593.70000000000005</v>
      </c>
      <c r="F23" s="39">
        <f t="shared" si="4"/>
        <v>148.41999999999996</v>
      </c>
      <c r="G23" s="37">
        <f t="shared" si="5"/>
        <v>59.369599999999998</v>
      </c>
      <c r="H23" s="116">
        <v>44382</v>
      </c>
      <c r="I23" s="40">
        <v>44354</v>
      </c>
      <c r="J23" s="233">
        <f t="shared" si="1"/>
        <v>28</v>
      </c>
      <c r="K23" s="368">
        <f t="shared" si="8"/>
        <v>8.6699999999999999E-2</v>
      </c>
      <c r="L23" s="364">
        <f t="shared" si="6"/>
        <v>12.868013999999997</v>
      </c>
      <c r="M23" s="364"/>
      <c r="N23" s="364"/>
      <c r="O23" s="271" t="s">
        <v>150</v>
      </c>
      <c r="P23" s="115" t="s">
        <v>152</v>
      </c>
    </row>
    <row r="24" spans="1:17" ht="16.5" customHeight="1" x14ac:dyDescent="0.25">
      <c r="A24" s="279">
        <v>4968</v>
      </c>
      <c r="B24" s="152">
        <v>0.8</v>
      </c>
      <c r="C24" s="153" t="s">
        <v>25</v>
      </c>
      <c r="D24" s="37">
        <v>7420.09</v>
      </c>
      <c r="E24" s="38">
        <v>2000</v>
      </c>
      <c r="F24" s="39">
        <f>D24-E26-E24-E25</f>
        <v>1484.0200000000004</v>
      </c>
      <c r="G24" s="37">
        <f t="shared" si="5"/>
        <v>593.60720000000003</v>
      </c>
      <c r="H24" s="116">
        <v>44356</v>
      </c>
      <c r="I24" s="40">
        <v>44354</v>
      </c>
      <c r="J24" s="233">
        <f t="shared" si="1"/>
        <v>2</v>
      </c>
      <c r="K24" s="368">
        <f t="shared" si="8"/>
        <v>8.6699999999999999E-2</v>
      </c>
      <c r="L24" s="364">
        <f t="shared" si="6"/>
        <v>128.66453400000003</v>
      </c>
      <c r="M24" s="364"/>
      <c r="N24" s="364"/>
      <c r="O24" s="271" t="s">
        <v>158</v>
      </c>
      <c r="P24" s="115" t="s">
        <v>151</v>
      </c>
    </row>
    <row r="25" spans="1:17" ht="16.5" customHeight="1" x14ac:dyDescent="0.25">
      <c r="A25" s="279">
        <v>4968</v>
      </c>
      <c r="B25" s="152">
        <v>0.8</v>
      </c>
      <c r="C25" s="153" t="s">
        <v>25</v>
      </c>
      <c r="D25" s="37">
        <v>0</v>
      </c>
      <c r="E25" s="38">
        <v>1000</v>
      </c>
      <c r="F25" s="39">
        <v>0</v>
      </c>
      <c r="G25" s="37">
        <f t="shared" si="5"/>
        <v>0</v>
      </c>
      <c r="H25" s="116">
        <v>44361</v>
      </c>
      <c r="I25" s="40">
        <v>44354</v>
      </c>
      <c r="J25" s="233">
        <f t="shared" si="1"/>
        <v>7</v>
      </c>
      <c r="K25" s="368">
        <f t="shared" si="8"/>
        <v>8.6699999999999999E-2</v>
      </c>
      <c r="L25" s="364">
        <f t="shared" si="6"/>
        <v>0</v>
      </c>
      <c r="M25" s="364"/>
      <c r="N25" s="364"/>
      <c r="O25" s="271" t="s">
        <v>150</v>
      </c>
      <c r="P25" s="115" t="s">
        <v>151</v>
      </c>
    </row>
    <row r="26" spans="1:17" ht="16.5" customHeight="1" x14ac:dyDescent="0.25">
      <c r="A26" s="279">
        <v>4968</v>
      </c>
      <c r="B26" s="152">
        <v>0.8</v>
      </c>
      <c r="C26" s="153" t="s">
        <v>25</v>
      </c>
      <c r="D26" s="37">
        <v>0</v>
      </c>
      <c r="E26" s="38">
        <f>ROUND(D24*B24,2)-2000-1000</f>
        <v>2936.0699999999997</v>
      </c>
      <c r="F26" s="39">
        <v>0</v>
      </c>
      <c r="G26" s="37">
        <f t="shared" si="5"/>
        <v>0</v>
      </c>
      <c r="H26" s="116">
        <v>44379</v>
      </c>
      <c r="I26" s="40">
        <v>44354</v>
      </c>
      <c r="J26" s="233">
        <f t="shared" si="1"/>
        <v>25</v>
      </c>
      <c r="K26" s="368">
        <f t="shared" si="8"/>
        <v>8.6699999999999999E-2</v>
      </c>
      <c r="L26" s="364">
        <f t="shared" si="6"/>
        <v>0</v>
      </c>
      <c r="M26" s="364"/>
      <c r="N26" s="364"/>
      <c r="O26" s="271" t="s">
        <v>150</v>
      </c>
      <c r="P26" s="115" t="s">
        <v>154</v>
      </c>
    </row>
    <row r="27" spans="1:17" ht="16.5" customHeight="1" x14ac:dyDescent="0.25">
      <c r="A27" s="279">
        <v>4952</v>
      </c>
      <c r="B27" s="152">
        <v>0.8</v>
      </c>
      <c r="C27" s="153" t="s">
        <v>60</v>
      </c>
      <c r="D27" s="37">
        <v>1265.83</v>
      </c>
      <c r="E27" s="38">
        <f t="shared" si="7"/>
        <v>1012.66</v>
      </c>
      <c r="F27" s="39">
        <f t="shared" si="4"/>
        <v>253.16999999999996</v>
      </c>
      <c r="G27" s="37">
        <f t="shared" si="5"/>
        <v>101.26639999999999</v>
      </c>
      <c r="H27" s="116">
        <v>44355</v>
      </c>
      <c r="I27" s="40">
        <v>44354</v>
      </c>
      <c r="J27" s="233">
        <f t="shared" si="1"/>
        <v>1</v>
      </c>
      <c r="K27" s="368">
        <f t="shared" si="8"/>
        <v>8.6699999999999999E-2</v>
      </c>
      <c r="L27" s="364">
        <f t="shared" si="6"/>
        <v>21.949838999999997</v>
      </c>
      <c r="M27" s="364"/>
      <c r="N27" s="364"/>
      <c r="O27" s="271" t="s">
        <v>150</v>
      </c>
      <c r="P27" s="115" t="s">
        <v>154</v>
      </c>
    </row>
    <row r="28" spans="1:17" ht="16.5" customHeight="1" x14ac:dyDescent="0.25">
      <c r="A28" s="279">
        <v>5015</v>
      </c>
      <c r="B28" s="152">
        <v>0.8</v>
      </c>
      <c r="C28" s="153" t="s">
        <v>26</v>
      </c>
      <c r="D28" s="37">
        <v>6154.89</v>
      </c>
      <c r="E28" s="38">
        <f t="shared" si="7"/>
        <v>4923.91</v>
      </c>
      <c r="F28" s="39">
        <f t="shared" si="4"/>
        <v>1230.9800000000005</v>
      </c>
      <c r="G28" s="37">
        <f t="shared" si="5"/>
        <v>492.39120000000003</v>
      </c>
      <c r="H28" s="116">
        <v>44382</v>
      </c>
      <c r="I28" s="40">
        <v>44354</v>
      </c>
      <c r="J28" s="233">
        <f t="shared" si="1"/>
        <v>28</v>
      </c>
      <c r="K28" s="368">
        <f t="shared" si="8"/>
        <v>8.6699999999999999E-2</v>
      </c>
      <c r="L28" s="364">
        <f t="shared" si="6"/>
        <v>106.72596600000004</v>
      </c>
      <c r="M28" s="364"/>
      <c r="N28" s="364"/>
      <c r="O28" s="271" t="s">
        <v>150</v>
      </c>
      <c r="P28" s="115" t="s">
        <v>169</v>
      </c>
    </row>
    <row r="29" spans="1:17" ht="16.5" customHeight="1" x14ac:dyDescent="0.25">
      <c r="A29" s="279">
        <v>4801</v>
      </c>
      <c r="B29" s="152">
        <v>0.8</v>
      </c>
      <c r="C29" s="153" t="s">
        <v>27</v>
      </c>
      <c r="D29" s="37">
        <v>4351.84</v>
      </c>
      <c r="E29" s="38">
        <f t="shared" si="7"/>
        <v>3481.47</v>
      </c>
      <c r="F29" s="39">
        <f t="shared" si="4"/>
        <v>870.37000000000035</v>
      </c>
      <c r="G29" s="37">
        <f t="shared" si="5"/>
        <v>348.1472</v>
      </c>
      <c r="H29" s="116">
        <v>44382</v>
      </c>
      <c r="I29" s="40">
        <v>44354</v>
      </c>
      <c r="J29" s="233">
        <f t="shared" si="1"/>
        <v>28</v>
      </c>
      <c r="K29" s="368">
        <f t="shared" si="8"/>
        <v>8.6699999999999999E-2</v>
      </c>
      <c r="L29" s="364">
        <f t="shared" si="6"/>
        <v>75.461079000000026</v>
      </c>
      <c r="M29" s="364"/>
      <c r="N29" s="364"/>
      <c r="O29" s="271" t="s">
        <v>150</v>
      </c>
      <c r="P29" s="115" t="s">
        <v>154</v>
      </c>
    </row>
    <row r="30" spans="1:17" ht="16.5" customHeight="1" x14ac:dyDescent="0.25">
      <c r="A30" s="279">
        <v>5006</v>
      </c>
      <c r="B30" s="152">
        <v>0.8</v>
      </c>
      <c r="C30" s="153" t="s">
        <v>28</v>
      </c>
      <c r="D30" s="37">
        <v>2266.41</v>
      </c>
      <c r="E30" s="38">
        <f t="shared" si="7"/>
        <v>1813.13</v>
      </c>
      <c r="F30" s="39">
        <f t="shared" si="4"/>
        <v>453.27999999999975</v>
      </c>
      <c r="G30" s="37">
        <f t="shared" si="5"/>
        <v>181.31279999999998</v>
      </c>
      <c r="H30" s="116">
        <v>44355</v>
      </c>
      <c r="I30" s="40">
        <v>44354</v>
      </c>
      <c r="J30" s="233">
        <f t="shared" si="1"/>
        <v>1</v>
      </c>
      <c r="K30" s="368">
        <f t="shared" si="8"/>
        <v>8.6699999999999999E-2</v>
      </c>
      <c r="L30" s="364">
        <f t="shared" si="6"/>
        <v>39.299375999999981</v>
      </c>
      <c r="M30" s="364"/>
      <c r="N30" s="364"/>
      <c r="O30" s="271" t="s">
        <v>150</v>
      </c>
      <c r="P30" s="115" t="s">
        <v>151</v>
      </c>
    </row>
    <row r="31" spans="1:17" ht="16.5" customHeight="1" x14ac:dyDescent="0.25">
      <c r="A31" s="279">
        <v>4977</v>
      </c>
      <c r="B31" s="152">
        <v>0.8</v>
      </c>
      <c r="C31" s="153" t="s">
        <v>29</v>
      </c>
      <c r="D31" s="37">
        <v>2279.9899999999998</v>
      </c>
      <c r="E31" s="38">
        <f t="shared" si="7"/>
        <v>1823.99</v>
      </c>
      <c r="F31" s="39">
        <f t="shared" si="4"/>
        <v>455.99999999999977</v>
      </c>
      <c r="G31" s="37">
        <f t="shared" si="5"/>
        <v>182.39919999999998</v>
      </c>
      <c r="H31" s="116">
        <v>44379</v>
      </c>
      <c r="I31" s="40">
        <v>44354</v>
      </c>
      <c r="J31" s="233">
        <f t="shared" si="1"/>
        <v>25</v>
      </c>
      <c r="K31" s="368">
        <f t="shared" si="8"/>
        <v>8.6699999999999999E-2</v>
      </c>
      <c r="L31" s="364">
        <f t="shared" si="6"/>
        <v>39.535199999999982</v>
      </c>
      <c r="M31" s="364"/>
      <c r="N31" s="364"/>
      <c r="O31" s="271" t="s">
        <v>150</v>
      </c>
      <c r="P31" s="115" t="s">
        <v>152</v>
      </c>
    </row>
    <row r="32" spans="1:17" ht="16.5" customHeight="1" x14ac:dyDescent="0.25">
      <c r="A32" s="279">
        <v>4761</v>
      </c>
      <c r="B32" s="152">
        <v>0.8</v>
      </c>
      <c r="C32" s="153" t="s">
        <v>102</v>
      </c>
      <c r="D32" s="37">
        <v>4693.3599999999997</v>
      </c>
      <c r="E32" s="38">
        <v>2000</v>
      </c>
      <c r="F32" s="39">
        <f>D32-E32-E33</f>
        <v>938.66999999999962</v>
      </c>
      <c r="G32" s="37">
        <f t="shared" si="5"/>
        <v>375.46879999999999</v>
      </c>
      <c r="H32" s="116">
        <v>44356</v>
      </c>
      <c r="I32" s="40">
        <v>44354</v>
      </c>
      <c r="J32" s="233">
        <f t="shared" si="1"/>
        <v>2</v>
      </c>
      <c r="K32" s="368">
        <f t="shared" si="8"/>
        <v>8.6699999999999999E-2</v>
      </c>
      <c r="L32" s="364">
        <f t="shared" si="6"/>
        <v>81.382688999999971</v>
      </c>
      <c r="M32" s="364"/>
      <c r="N32" s="364"/>
      <c r="O32" s="271" t="s">
        <v>158</v>
      </c>
      <c r="P32" s="115" t="s">
        <v>151</v>
      </c>
    </row>
    <row r="33" spans="1:20" ht="16.5" customHeight="1" x14ac:dyDescent="0.25">
      <c r="A33" s="279">
        <v>4761</v>
      </c>
      <c r="B33" s="152">
        <v>0.8</v>
      </c>
      <c r="C33" s="153" t="s">
        <v>102</v>
      </c>
      <c r="D33" s="37">
        <v>0</v>
      </c>
      <c r="E33" s="38">
        <f>ROUND(D32*B32,2)-2000</f>
        <v>1754.69</v>
      </c>
      <c r="F33" s="39">
        <v>0</v>
      </c>
      <c r="G33" s="37">
        <f t="shared" si="5"/>
        <v>0</v>
      </c>
      <c r="H33" s="116">
        <v>44357</v>
      </c>
      <c r="I33" s="40">
        <v>44354</v>
      </c>
      <c r="J33" s="233">
        <f t="shared" si="1"/>
        <v>3</v>
      </c>
      <c r="K33" s="368">
        <f t="shared" si="8"/>
        <v>8.6699999999999999E-2</v>
      </c>
      <c r="L33" s="364">
        <f t="shared" si="6"/>
        <v>0</v>
      </c>
      <c r="M33" s="364"/>
      <c r="N33" s="364"/>
      <c r="O33" s="271" t="s">
        <v>150</v>
      </c>
      <c r="P33" s="115" t="s">
        <v>186</v>
      </c>
    </row>
    <row r="34" spans="1:20" ht="16.5" customHeight="1" x14ac:dyDescent="0.25">
      <c r="A34" s="279">
        <v>4789</v>
      </c>
      <c r="B34" s="152">
        <v>0.8</v>
      </c>
      <c r="C34" s="153" t="s">
        <v>31</v>
      </c>
      <c r="D34" s="37">
        <v>2737.48</v>
      </c>
      <c r="E34" s="38">
        <f t="shared" si="7"/>
        <v>2189.98</v>
      </c>
      <c r="F34" s="39">
        <f t="shared" si="4"/>
        <v>547.5</v>
      </c>
      <c r="G34" s="37">
        <f t="shared" si="5"/>
        <v>218.9984</v>
      </c>
      <c r="H34" s="116">
        <v>44356</v>
      </c>
      <c r="I34" s="40">
        <v>44354</v>
      </c>
      <c r="J34" s="233">
        <f t="shared" si="1"/>
        <v>2</v>
      </c>
      <c r="K34" s="368">
        <f t="shared" si="8"/>
        <v>8.6699999999999999E-2</v>
      </c>
      <c r="L34" s="364">
        <f t="shared" si="6"/>
        <v>47.468249999999998</v>
      </c>
      <c r="M34" s="364"/>
      <c r="N34" s="364"/>
      <c r="O34" s="271" t="s">
        <v>158</v>
      </c>
      <c r="P34" s="115" t="s">
        <v>151</v>
      </c>
    </row>
    <row r="35" spans="1:20" ht="16.5" customHeight="1" x14ac:dyDescent="0.25">
      <c r="A35" s="279">
        <v>4969</v>
      </c>
      <c r="B35" s="152">
        <v>0.8</v>
      </c>
      <c r="C35" s="153" t="s">
        <v>32</v>
      </c>
      <c r="D35" s="37">
        <v>2610.1</v>
      </c>
      <c r="E35" s="38">
        <f t="shared" si="3"/>
        <v>2088.08</v>
      </c>
      <c r="F35" s="39">
        <f t="shared" si="4"/>
        <v>522.02</v>
      </c>
      <c r="G35" s="37">
        <f t="shared" si="5"/>
        <v>208.80799999999999</v>
      </c>
      <c r="H35" s="116">
        <v>44356</v>
      </c>
      <c r="I35" s="40">
        <v>44354</v>
      </c>
      <c r="J35" s="233">
        <f t="shared" si="1"/>
        <v>2</v>
      </c>
      <c r="K35" s="368">
        <f t="shared" si="8"/>
        <v>8.6699999999999999E-2</v>
      </c>
      <c r="L35" s="364">
        <f t="shared" si="6"/>
        <v>45.259133999999996</v>
      </c>
      <c r="M35" s="364"/>
      <c r="N35" s="364"/>
      <c r="O35" s="271" t="s">
        <v>158</v>
      </c>
      <c r="P35" s="115" t="s">
        <v>152</v>
      </c>
    </row>
    <row r="36" spans="1:20" ht="16.5" customHeight="1" x14ac:dyDescent="0.25">
      <c r="A36" s="279"/>
      <c r="B36" s="199"/>
      <c r="C36" s="46" t="s">
        <v>160</v>
      </c>
      <c r="D36" s="46">
        <f>SUM(D18:D35)</f>
        <v>45548.770000000004</v>
      </c>
      <c r="E36" s="46">
        <f>SUM(E18:E35)</f>
        <v>36439.020000000004</v>
      </c>
      <c r="F36" s="46">
        <f>SUM(F18:F35)</f>
        <v>9109.7500000000018</v>
      </c>
      <c r="G36" s="46">
        <f>SUM(G18:G35)</f>
        <v>3643.9016000000001</v>
      </c>
      <c r="H36" s="201"/>
      <c r="I36" s="200"/>
      <c r="J36" s="235"/>
      <c r="K36" s="366">
        <v>0</v>
      </c>
      <c r="L36" s="370">
        <f>SUM(L18:L35)</f>
        <v>789.81532500000003</v>
      </c>
      <c r="M36" s="364"/>
      <c r="N36" s="364"/>
      <c r="O36" s="271"/>
      <c r="P36" s="115"/>
      <c r="T36" s="144"/>
    </row>
    <row r="37" spans="1:20" ht="16.5" customHeight="1" x14ac:dyDescent="0.25">
      <c r="A37" s="279">
        <v>4937</v>
      </c>
      <c r="B37" s="152">
        <v>1</v>
      </c>
      <c r="C37" s="153" t="s">
        <v>33</v>
      </c>
      <c r="D37" s="37">
        <v>2106.0100000000002</v>
      </c>
      <c r="E37" s="38">
        <f>ROUND(D37*B37,2)</f>
        <v>2106.0100000000002</v>
      </c>
      <c r="F37" s="39">
        <f>D37-E37</f>
        <v>0</v>
      </c>
      <c r="G37" s="37">
        <f>D37*8%</f>
        <v>168.48080000000002</v>
      </c>
      <c r="H37" s="116">
        <v>44379</v>
      </c>
      <c r="I37" s="40">
        <v>44354</v>
      </c>
      <c r="J37" s="233">
        <f t="shared" si="1"/>
        <v>25</v>
      </c>
      <c r="K37" s="368">
        <f>K35</f>
        <v>8.6699999999999999E-2</v>
      </c>
      <c r="L37" s="364">
        <f t="shared" ref="L37:L67" si="9">SUM(F37)*K37</f>
        <v>0</v>
      </c>
      <c r="M37" s="364"/>
      <c r="N37" s="364"/>
      <c r="O37" s="271" t="s">
        <v>150</v>
      </c>
      <c r="P37" s="115" t="s">
        <v>152</v>
      </c>
    </row>
    <row r="38" spans="1:20" ht="16.5" customHeight="1" x14ac:dyDescent="0.25">
      <c r="A38" s="279">
        <v>5122</v>
      </c>
      <c r="B38" s="152">
        <v>1</v>
      </c>
      <c r="C38" s="153" t="s">
        <v>34</v>
      </c>
      <c r="D38" s="37">
        <v>1270.21</v>
      </c>
      <c r="E38" s="38">
        <f t="shared" si="3"/>
        <v>1270.21</v>
      </c>
      <c r="F38" s="39">
        <f t="shared" si="4"/>
        <v>0</v>
      </c>
      <c r="G38" s="37">
        <f t="shared" ref="G38:G96" si="10">D38*8%</f>
        <v>101.61680000000001</v>
      </c>
      <c r="H38" s="116">
        <v>44355</v>
      </c>
      <c r="I38" s="40">
        <v>44354</v>
      </c>
      <c r="J38" s="233">
        <f t="shared" si="1"/>
        <v>1</v>
      </c>
      <c r="K38" s="368">
        <f>K37</f>
        <v>8.6699999999999999E-2</v>
      </c>
      <c r="L38" s="364">
        <f t="shared" si="9"/>
        <v>0</v>
      </c>
      <c r="M38" s="364"/>
      <c r="N38" s="364"/>
      <c r="O38" s="271" t="s">
        <v>158</v>
      </c>
      <c r="P38" s="115" t="s">
        <v>161</v>
      </c>
    </row>
    <row r="39" spans="1:20" ht="16.5" customHeight="1" x14ac:dyDescent="0.25">
      <c r="A39" s="279">
        <v>4763</v>
      </c>
      <c r="B39" s="152">
        <v>1</v>
      </c>
      <c r="C39" s="154" t="s">
        <v>16</v>
      </c>
      <c r="D39" s="37">
        <v>0.72</v>
      </c>
      <c r="E39" s="38">
        <f t="shared" si="3"/>
        <v>0.72</v>
      </c>
      <c r="F39" s="39">
        <f t="shared" si="4"/>
        <v>0</v>
      </c>
      <c r="G39" s="37">
        <f t="shared" si="10"/>
        <v>5.7599999999999998E-2</v>
      </c>
      <c r="H39" s="40">
        <v>44322</v>
      </c>
      <c r="I39" s="40">
        <v>44354</v>
      </c>
      <c r="J39" s="233">
        <v>0</v>
      </c>
      <c r="K39" s="368">
        <f t="shared" ref="K39:K96" si="11">K38</f>
        <v>8.6699999999999999E-2</v>
      </c>
      <c r="L39" s="364">
        <f t="shared" si="9"/>
        <v>0</v>
      </c>
      <c r="M39" s="364"/>
      <c r="N39" s="364"/>
      <c r="O39" s="271" t="s">
        <v>158</v>
      </c>
      <c r="P39" s="115" t="s">
        <v>161</v>
      </c>
      <c r="Q39" s="140" t="s">
        <v>188</v>
      </c>
    </row>
    <row r="40" spans="1:20" ht="16.5" customHeight="1" x14ac:dyDescent="0.25">
      <c r="A40" s="279">
        <v>4907</v>
      </c>
      <c r="B40" s="152">
        <v>1</v>
      </c>
      <c r="C40" s="153" t="s">
        <v>35</v>
      </c>
      <c r="D40" s="37">
        <v>102.54</v>
      </c>
      <c r="E40" s="38">
        <f t="shared" si="3"/>
        <v>102.54</v>
      </c>
      <c r="F40" s="39">
        <f t="shared" si="4"/>
        <v>0</v>
      </c>
      <c r="G40" s="37">
        <f t="shared" si="10"/>
        <v>8.2032000000000007</v>
      </c>
      <c r="H40" s="116">
        <v>44355</v>
      </c>
      <c r="I40" s="40">
        <v>44354</v>
      </c>
      <c r="J40" s="233">
        <f t="shared" si="1"/>
        <v>1</v>
      </c>
      <c r="K40" s="368">
        <f t="shared" si="11"/>
        <v>8.6699999999999999E-2</v>
      </c>
      <c r="L40" s="364">
        <f t="shared" si="9"/>
        <v>0</v>
      </c>
      <c r="M40" s="364"/>
      <c r="N40" s="364"/>
      <c r="O40" s="271" t="s">
        <v>158</v>
      </c>
      <c r="P40" s="115" t="s">
        <v>161</v>
      </c>
    </row>
    <row r="41" spans="1:20" ht="16.5" customHeight="1" x14ac:dyDescent="0.25">
      <c r="A41" s="279">
        <v>5079</v>
      </c>
      <c r="B41" s="152">
        <v>1</v>
      </c>
      <c r="C41" s="153" t="s">
        <v>37</v>
      </c>
      <c r="D41" s="37">
        <v>1533.01</v>
      </c>
      <c r="E41" s="38">
        <f t="shared" si="3"/>
        <v>1533.01</v>
      </c>
      <c r="F41" s="39">
        <f t="shared" si="4"/>
        <v>0</v>
      </c>
      <c r="G41" s="37">
        <f t="shared" si="10"/>
        <v>122.6408</v>
      </c>
      <c r="H41" s="116">
        <v>44356</v>
      </c>
      <c r="I41" s="40">
        <v>44354</v>
      </c>
      <c r="J41" s="233">
        <f t="shared" si="1"/>
        <v>2</v>
      </c>
      <c r="K41" s="368">
        <f t="shared" si="11"/>
        <v>8.6699999999999999E-2</v>
      </c>
      <c r="L41" s="364">
        <f t="shared" si="9"/>
        <v>0</v>
      </c>
      <c r="M41" s="364"/>
      <c r="N41" s="364"/>
      <c r="O41" s="271" t="s">
        <v>158</v>
      </c>
      <c r="P41" s="115" t="s">
        <v>161</v>
      </c>
    </row>
    <row r="42" spans="1:20" ht="16.5" customHeight="1" x14ac:dyDescent="0.25">
      <c r="A42" s="279">
        <v>5149</v>
      </c>
      <c r="B42" s="152">
        <v>1</v>
      </c>
      <c r="C42" s="153" t="s">
        <v>105</v>
      </c>
      <c r="D42" s="37">
        <v>954.49</v>
      </c>
      <c r="E42" s="38">
        <f t="shared" si="3"/>
        <v>954.49</v>
      </c>
      <c r="F42" s="39">
        <f t="shared" si="4"/>
        <v>0</v>
      </c>
      <c r="G42" s="37">
        <f t="shared" si="10"/>
        <v>76.359200000000001</v>
      </c>
      <c r="H42" s="116">
        <v>44355</v>
      </c>
      <c r="I42" s="40">
        <v>44354</v>
      </c>
      <c r="J42" s="233">
        <f t="shared" si="1"/>
        <v>1</v>
      </c>
      <c r="K42" s="368">
        <f t="shared" si="11"/>
        <v>8.6699999999999999E-2</v>
      </c>
      <c r="L42" s="364">
        <f t="shared" si="9"/>
        <v>0</v>
      </c>
      <c r="M42" s="364"/>
      <c r="N42" s="364"/>
      <c r="O42" s="271" t="s">
        <v>158</v>
      </c>
      <c r="P42" s="115" t="s">
        <v>161</v>
      </c>
    </row>
    <row r="43" spans="1:20" ht="16.5" customHeight="1" x14ac:dyDescent="0.25">
      <c r="A43" s="279">
        <v>5073</v>
      </c>
      <c r="B43" s="152">
        <v>1</v>
      </c>
      <c r="C43" s="153" t="s">
        <v>38</v>
      </c>
      <c r="D43" s="37">
        <v>2593.0700000000002</v>
      </c>
      <c r="E43" s="38">
        <f t="shared" si="3"/>
        <v>2593.0700000000002</v>
      </c>
      <c r="F43" s="39">
        <f t="shared" si="4"/>
        <v>0</v>
      </c>
      <c r="G43" s="37">
        <f t="shared" si="10"/>
        <v>207.44560000000001</v>
      </c>
      <c r="H43" s="116">
        <v>44355</v>
      </c>
      <c r="I43" s="40">
        <v>44354</v>
      </c>
      <c r="J43" s="233">
        <f t="shared" si="1"/>
        <v>1</v>
      </c>
      <c r="K43" s="368">
        <f t="shared" si="11"/>
        <v>8.6699999999999999E-2</v>
      </c>
      <c r="L43" s="364">
        <f t="shared" si="9"/>
        <v>0</v>
      </c>
      <c r="M43" s="364"/>
      <c r="N43" s="364"/>
      <c r="O43" s="271" t="s">
        <v>158</v>
      </c>
      <c r="P43" s="115" t="s">
        <v>161</v>
      </c>
    </row>
    <row r="44" spans="1:20" ht="16.5" customHeight="1" x14ac:dyDescent="0.25">
      <c r="A44" s="279">
        <v>2961</v>
      </c>
      <c r="B44" s="152">
        <v>1</v>
      </c>
      <c r="C44" s="153" t="s">
        <v>39</v>
      </c>
      <c r="D44" s="37">
        <v>6.01</v>
      </c>
      <c r="E44" s="38">
        <f t="shared" si="3"/>
        <v>6.01</v>
      </c>
      <c r="F44" s="39">
        <f t="shared" si="4"/>
        <v>0</v>
      </c>
      <c r="G44" s="37">
        <f t="shared" si="10"/>
        <v>0.48080000000000001</v>
      </c>
      <c r="H44" s="116">
        <v>44355</v>
      </c>
      <c r="I44" s="40">
        <v>44354</v>
      </c>
      <c r="J44" s="233">
        <f t="shared" si="1"/>
        <v>1</v>
      </c>
      <c r="K44" s="368">
        <f t="shared" si="11"/>
        <v>8.6699999999999999E-2</v>
      </c>
      <c r="L44" s="364">
        <f t="shared" si="9"/>
        <v>0</v>
      </c>
      <c r="M44" s="364"/>
      <c r="N44" s="364"/>
      <c r="O44" s="271" t="s">
        <v>158</v>
      </c>
      <c r="P44" s="115" t="s">
        <v>161</v>
      </c>
      <c r="Q44" s="141"/>
    </row>
    <row r="45" spans="1:20" ht="16.5" customHeight="1" x14ac:dyDescent="0.25">
      <c r="A45" s="279">
        <v>108</v>
      </c>
      <c r="B45" s="152">
        <v>1</v>
      </c>
      <c r="C45" s="153" t="s">
        <v>40</v>
      </c>
      <c r="D45" s="37">
        <v>9.76</v>
      </c>
      <c r="E45" s="38">
        <f t="shared" si="3"/>
        <v>9.76</v>
      </c>
      <c r="F45" s="39">
        <f t="shared" si="4"/>
        <v>0</v>
      </c>
      <c r="G45" s="37">
        <f t="shared" si="10"/>
        <v>0.78080000000000005</v>
      </c>
      <c r="H45" s="116">
        <v>44355</v>
      </c>
      <c r="I45" s="40">
        <v>44354</v>
      </c>
      <c r="J45" s="233">
        <f t="shared" si="1"/>
        <v>1</v>
      </c>
      <c r="K45" s="368">
        <f t="shared" si="11"/>
        <v>8.6699999999999999E-2</v>
      </c>
      <c r="L45" s="364">
        <f t="shared" si="9"/>
        <v>0</v>
      </c>
      <c r="M45" s="364"/>
      <c r="N45" s="364"/>
      <c r="O45" s="271" t="s">
        <v>158</v>
      </c>
      <c r="P45" s="115" t="s">
        <v>161</v>
      </c>
    </row>
    <row r="46" spans="1:20" ht="16.5" customHeight="1" x14ac:dyDescent="0.25">
      <c r="A46" s="279">
        <v>5048</v>
      </c>
      <c r="B46" s="152">
        <v>1</v>
      </c>
      <c r="C46" s="153" t="s">
        <v>41</v>
      </c>
      <c r="D46" s="37">
        <v>1031.99</v>
      </c>
      <c r="E46" s="38">
        <f t="shared" si="3"/>
        <v>1031.99</v>
      </c>
      <c r="F46" s="39">
        <f t="shared" si="4"/>
        <v>0</v>
      </c>
      <c r="G46" s="37">
        <f t="shared" si="10"/>
        <v>82.559200000000004</v>
      </c>
      <c r="H46" s="116">
        <v>44355</v>
      </c>
      <c r="I46" s="40">
        <v>44354</v>
      </c>
      <c r="J46" s="233">
        <f t="shared" si="1"/>
        <v>1</v>
      </c>
      <c r="K46" s="368">
        <f t="shared" si="11"/>
        <v>8.6699999999999999E-2</v>
      </c>
      <c r="L46" s="364">
        <f t="shared" si="9"/>
        <v>0</v>
      </c>
      <c r="M46" s="364"/>
      <c r="N46" s="364"/>
      <c r="O46" s="271" t="s">
        <v>158</v>
      </c>
      <c r="P46" s="115" t="s">
        <v>161</v>
      </c>
    </row>
    <row r="47" spans="1:20" ht="16.5" customHeight="1" x14ac:dyDescent="0.25">
      <c r="A47" s="279">
        <v>5045</v>
      </c>
      <c r="B47" s="152">
        <v>1</v>
      </c>
      <c r="C47" s="153" t="s">
        <v>42</v>
      </c>
      <c r="D47" s="37">
        <v>1532.97</v>
      </c>
      <c r="E47" s="38">
        <f t="shared" si="3"/>
        <v>1532.97</v>
      </c>
      <c r="F47" s="39">
        <f t="shared" si="4"/>
        <v>0</v>
      </c>
      <c r="G47" s="37">
        <f t="shared" si="10"/>
        <v>122.63760000000001</v>
      </c>
      <c r="H47" s="116">
        <v>44356</v>
      </c>
      <c r="I47" s="40">
        <v>44354</v>
      </c>
      <c r="J47" s="233">
        <f t="shared" si="1"/>
        <v>2</v>
      </c>
      <c r="K47" s="368">
        <f t="shared" si="11"/>
        <v>8.6699999999999999E-2</v>
      </c>
      <c r="L47" s="364">
        <f t="shared" si="9"/>
        <v>0</v>
      </c>
      <c r="M47" s="364"/>
      <c r="N47" s="364"/>
      <c r="O47" s="271" t="s">
        <v>158</v>
      </c>
      <c r="P47" s="115" t="s">
        <v>161</v>
      </c>
    </row>
    <row r="48" spans="1:20" ht="16.5" customHeight="1" x14ac:dyDescent="0.25">
      <c r="A48" s="279">
        <v>2526</v>
      </c>
      <c r="B48" s="152">
        <v>1</v>
      </c>
      <c r="C48" s="153" t="s">
        <v>43</v>
      </c>
      <c r="D48" s="37">
        <v>51.27</v>
      </c>
      <c r="E48" s="38">
        <f t="shared" si="3"/>
        <v>51.27</v>
      </c>
      <c r="F48" s="39">
        <f t="shared" si="4"/>
        <v>0</v>
      </c>
      <c r="G48" s="37">
        <f t="shared" si="10"/>
        <v>4.1016000000000004</v>
      </c>
      <c r="H48" s="116">
        <v>44355</v>
      </c>
      <c r="I48" s="40">
        <v>44354</v>
      </c>
      <c r="J48" s="233">
        <f t="shared" si="1"/>
        <v>1</v>
      </c>
      <c r="K48" s="368">
        <f t="shared" si="11"/>
        <v>8.6699999999999999E-2</v>
      </c>
      <c r="L48" s="364">
        <f t="shared" si="9"/>
        <v>0</v>
      </c>
      <c r="M48" s="364"/>
      <c r="N48" s="364"/>
      <c r="O48" s="271" t="s">
        <v>170</v>
      </c>
      <c r="P48" s="115" t="s">
        <v>170</v>
      </c>
    </row>
    <row r="49" spans="1:16" ht="16.5" customHeight="1" x14ac:dyDescent="0.25">
      <c r="A49" s="279">
        <v>4605</v>
      </c>
      <c r="B49" s="152">
        <v>1</v>
      </c>
      <c r="C49" s="153" t="s">
        <v>44</v>
      </c>
      <c r="D49" s="37">
        <v>5.63</v>
      </c>
      <c r="E49" s="38">
        <f>ROUND(D49*B49,2)</f>
        <v>5.63</v>
      </c>
      <c r="F49" s="39">
        <f>D49-E49</f>
        <v>0</v>
      </c>
      <c r="G49" s="37">
        <f t="shared" si="10"/>
        <v>0.45040000000000002</v>
      </c>
      <c r="H49" s="116">
        <v>44355</v>
      </c>
      <c r="I49" s="40">
        <v>44354</v>
      </c>
      <c r="J49" s="233">
        <f t="shared" si="1"/>
        <v>1</v>
      </c>
      <c r="K49" s="368">
        <f t="shared" si="11"/>
        <v>8.6699999999999999E-2</v>
      </c>
      <c r="L49" s="364">
        <f t="shared" si="9"/>
        <v>0</v>
      </c>
      <c r="M49" s="364"/>
      <c r="N49" s="364"/>
      <c r="O49" s="271" t="s">
        <v>158</v>
      </c>
      <c r="P49" s="115" t="s">
        <v>161</v>
      </c>
    </row>
    <row r="50" spans="1:16" ht="16.5" customHeight="1" x14ac:dyDescent="0.25">
      <c r="A50" s="279">
        <v>4130</v>
      </c>
      <c r="B50" s="152">
        <v>1</v>
      </c>
      <c r="C50" s="153" t="s">
        <v>46</v>
      </c>
      <c r="D50" s="37">
        <v>5.28</v>
      </c>
      <c r="E50" s="38">
        <f t="shared" si="3"/>
        <v>5.28</v>
      </c>
      <c r="F50" s="39">
        <f t="shared" si="4"/>
        <v>0</v>
      </c>
      <c r="G50" s="37">
        <f t="shared" si="10"/>
        <v>0.42240000000000005</v>
      </c>
      <c r="H50" s="116">
        <v>44355</v>
      </c>
      <c r="I50" s="40">
        <v>44354</v>
      </c>
      <c r="J50" s="233">
        <f t="shared" si="1"/>
        <v>1</v>
      </c>
      <c r="K50" s="368">
        <f>K49</f>
        <v>8.6699999999999999E-2</v>
      </c>
      <c r="L50" s="364">
        <f t="shared" si="9"/>
        <v>0</v>
      </c>
      <c r="M50" s="364"/>
      <c r="N50" s="364"/>
      <c r="O50" s="271" t="s">
        <v>158</v>
      </c>
      <c r="P50" s="115" t="s">
        <v>161</v>
      </c>
    </row>
    <row r="51" spans="1:16" ht="16.5" customHeight="1" x14ac:dyDescent="0.25">
      <c r="A51" s="279">
        <v>4666</v>
      </c>
      <c r="B51" s="152">
        <v>1</v>
      </c>
      <c r="C51" s="153" t="s">
        <v>47</v>
      </c>
      <c r="D51" s="37">
        <v>6.63</v>
      </c>
      <c r="E51" s="38">
        <f t="shared" si="3"/>
        <v>6.63</v>
      </c>
      <c r="F51" s="39">
        <f t="shared" si="4"/>
        <v>0</v>
      </c>
      <c r="G51" s="37">
        <f t="shared" si="10"/>
        <v>0.53039999999999998</v>
      </c>
      <c r="H51" s="40">
        <v>44355</v>
      </c>
      <c r="I51" s="40">
        <v>44354</v>
      </c>
      <c r="J51" s="233">
        <f t="shared" si="1"/>
        <v>1</v>
      </c>
      <c r="K51" s="368">
        <f t="shared" si="11"/>
        <v>8.6699999999999999E-2</v>
      </c>
      <c r="L51" s="364">
        <f t="shared" si="9"/>
        <v>0</v>
      </c>
      <c r="M51" s="364"/>
      <c r="N51" s="364"/>
      <c r="O51" s="271" t="s">
        <v>158</v>
      </c>
      <c r="P51" s="115" t="s">
        <v>161</v>
      </c>
    </row>
    <row r="52" spans="1:16" ht="16.5" customHeight="1" x14ac:dyDescent="0.25">
      <c r="A52" s="279">
        <v>4906</v>
      </c>
      <c r="B52" s="152">
        <v>1</v>
      </c>
      <c r="C52" s="154" t="s">
        <v>2</v>
      </c>
      <c r="D52" s="37">
        <v>7.14</v>
      </c>
      <c r="E52" s="38">
        <f>ROUND(D52*B52,2)</f>
        <v>7.14</v>
      </c>
      <c r="F52" s="39">
        <f>D52-E52</f>
        <v>0</v>
      </c>
      <c r="G52" s="37">
        <f t="shared" si="10"/>
        <v>0.57120000000000004</v>
      </c>
      <c r="H52" s="40">
        <v>44355</v>
      </c>
      <c r="I52" s="40">
        <v>44354</v>
      </c>
      <c r="J52" s="233">
        <f t="shared" si="1"/>
        <v>1</v>
      </c>
      <c r="K52" s="368">
        <f t="shared" si="11"/>
        <v>8.6699999999999999E-2</v>
      </c>
      <c r="L52" s="364">
        <f t="shared" si="9"/>
        <v>0</v>
      </c>
      <c r="M52" s="364"/>
      <c r="N52" s="364"/>
      <c r="O52" s="271" t="s">
        <v>158</v>
      </c>
      <c r="P52" s="115" t="s">
        <v>161</v>
      </c>
    </row>
    <row r="53" spans="1:16" ht="16.5" customHeight="1" x14ac:dyDescent="0.25">
      <c r="A53" s="279">
        <v>5127</v>
      </c>
      <c r="B53" s="152">
        <v>1</v>
      </c>
      <c r="C53" s="153" t="s">
        <v>50</v>
      </c>
      <c r="D53" s="37">
        <v>1529.21</v>
      </c>
      <c r="E53" s="38">
        <f t="shared" si="3"/>
        <v>1529.21</v>
      </c>
      <c r="F53" s="39">
        <f t="shared" si="4"/>
        <v>0</v>
      </c>
      <c r="G53" s="37">
        <f t="shared" si="10"/>
        <v>122.33680000000001</v>
      </c>
      <c r="H53" s="116">
        <v>44356</v>
      </c>
      <c r="I53" s="40">
        <v>44354</v>
      </c>
      <c r="J53" s="233">
        <f t="shared" si="1"/>
        <v>2</v>
      </c>
      <c r="K53" s="368">
        <f t="shared" si="11"/>
        <v>8.6699999999999999E-2</v>
      </c>
      <c r="L53" s="364">
        <f t="shared" si="9"/>
        <v>0</v>
      </c>
      <c r="M53" s="364"/>
      <c r="N53" s="364"/>
      <c r="O53" s="271" t="s">
        <v>158</v>
      </c>
      <c r="P53" s="115" t="s">
        <v>161</v>
      </c>
    </row>
    <row r="54" spans="1:16" ht="16.5" customHeight="1" x14ac:dyDescent="0.25">
      <c r="A54" s="279">
        <v>4996</v>
      </c>
      <c r="B54" s="152">
        <v>1</v>
      </c>
      <c r="C54" s="153" t="s">
        <v>51</v>
      </c>
      <c r="D54" s="37">
        <v>55.75</v>
      </c>
      <c r="E54" s="38">
        <f>ROUND(D54*B54,2)</f>
        <v>55.75</v>
      </c>
      <c r="F54" s="39">
        <f>D54-E54</f>
        <v>0</v>
      </c>
      <c r="G54" s="37">
        <f t="shared" si="10"/>
        <v>4.46</v>
      </c>
      <c r="H54" s="116">
        <v>44355</v>
      </c>
      <c r="I54" s="40">
        <v>44354</v>
      </c>
      <c r="J54" s="233">
        <f t="shared" si="1"/>
        <v>1</v>
      </c>
      <c r="K54" s="368">
        <f t="shared" si="11"/>
        <v>8.6699999999999999E-2</v>
      </c>
      <c r="L54" s="364">
        <f t="shared" si="9"/>
        <v>0</v>
      </c>
      <c r="M54" s="364"/>
      <c r="N54" s="364"/>
      <c r="O54" s="271" t="s">
        <v>158</v>
      </c>
      <c r="P54" s="115" t="s">
        <v>161</v>
      </c>
    </row>
    <row r="55" spans="1:16" ht="16.5" customHeight="1" x14ac:dyDescent="0.25">
      <c r="A55" s="279">
        <v>4693</v>
      </c>
      <c r="B55" s="152">
        <v>1</v>
      </c>
      <c r="C55" s="153" t="s">
        <v>52</v>
      </c>
      <c r="D55" s="37">
        <v>54.63</v>
      </c>
      <c r="E55" s="38">
        <f>ROUND(D55*B55,2)</f>
        <v>54.63</v>
      </c>
      <c r="F55" s="39">
        <f>D55-E55</f>
        <v>0</v>
      </c>
      <c r="G55" s="37">
        <f t="shared" si="10"/>
        <v>4.3704000000000001</v>
      </c>
      <c r="H55" s="116">
        <v>44355</v>
      </c>
      <c r="I55" s="40">
        <v>44354</v>
      </c>
      <c r="J55" s="233">
        <f t="shared" si="1"/>
        <v>1</v>
      </c>
      <c r="K55" s="368">
        <f t="shared" si="11"/>
        <v>8.6699999999999999E-2</v>
      </c>
      <c r="L55" s="364">
        <f t="shared" si="9"/>
        <v>0</v>
      </c>
      <c r="M55" s="364"/>
      <c r="N55" s="364"/>
      <c r="O55" s="271" t="s">
        <v>158</v>
      </c>
      <c r="P55" s="115" t="s">
        <v>161</v>
      </c>
    </row>
    <row r="56" spans="1:16" ht="16.5" customHeight="1" x14ac:dyDescent="0.25">
      <c r="A56" s="279">
        <v>5047</v>
      </c>
      <c r="B56" s="152">
        <v>1</v>
      </c>
      <c r="C56" s="153" t="s">
        <v>53</v>
      </c>
      <c r="D56" s="37">
        <v>2164.9899999999998</v>
      </c>
      <c r="E56" s="38">
        <f>ROUND(D56*B56,2)</f>
        <v>2164.9899999999998</v>
      </c>
      <c r="F56" s="39">
        <v>0</v>
      </c>
      <c r="G56" s="37">
        <f t="shared" si="10"/>
        <v>173.19919999999999</v>
      </c>
      <c r="H56" s="116">
        <v>44378</v>
      </c>
      <c r="I56" s="40">
        <v>44354</v>
      </c>
      <c r="J56" s="233">
        <f t="shared" si="1"/>
        <v>24</v>
      </c>
      <c r="K56" s="368">
        <f t="shared" si="11"/>
        <v>8.6699999999999999E-2</v>
      </c>
      <c r="L56" s="364">
        <f t="shared" si="9"/>
        <v>0</v>
      </c>
      <c r="M56" s="364"/>
      <c r="N56" s="364"/>
      <c r="O56" s="271" t="s">
        <v>150</v>
      </c>
      <c r="P56" s="115" t="s">
        <v>174</v>
      </c>
    </row>
    <row r="57" spans="1:16" ht="16.5" customHeight="1" x14ac:dyDescent="0.25">
      <c r="A57" s="279">
        <v>230</v>
      </c>
      <c r="B57" s="152">
        <v>1</v>
      </c>
      <c r="C57" s="153" t="s">
        <v>54</v>
      </c>
      <c r="D57" s="37">
        <v>7.92</v>
      </c>
      <c r="E57" s="38">
        <f t="shared" si="3"/>
        <v>7.92</v>
      </c>
      <c r="F57" s="39">
        <f t="shared" si="4"/>
        <v>0</v>
      </c>
      <c r="G57" s="37">
        <f t="shared" si="10"/>
        <v>0.63360000000000005</v>
      </c>
      <c r="H57" s="116">
        <v>44355</v>
      </c>
      <c r="I57" s="40">
        <v>44354</v>
      </c>
      <c r="J57" s="233">
        <f t="shared" si="1"/>
        <v>1</v>
      </c>
      <c r="K57" s="368">
        <f t="shared" si="11"/>
        <v>8.6699999999999999E-2</v>
      </c>
      <c r="L57" s="364">
        <f t="shared" si="9"/>
        <v>0</v>
      </c>
      <c r="M57" s="364"/>
      <c r="N57" s="364"/>
      <c r="O57" s="271" t="s">
        <v>158</v>
      </c>
      <c r="P57" s="115" t="s">
        <v>161</v>
      </c>
    </row>
    <row r="58" spans="1:16" ht="16.5" customHeight="1" x14ac:dyDescent="0.25">
      <c r="A58" s="279">
        <v>4959</v>
      </c>
      <c r="B58" s="152">
        <v>1</v>
      </c>
      <c r="C58" s="153" t="s">
        <v>55</v>
      </c>
      <c r="D58" s="37">
        <v>4.33</v>
      </c>
      <c r="E58" s="38">
        <f t="shared" si="3"/>
        <v>4.33</v>
      </c>
      <c r="F58" s="39">
        <f t="shared" si="4"/>
        <v>0</v>
      </c>
      <c r="G58" s="37">
        <f t="shared" si="10"/>
        <v>0.34639999999999999</v>
      </c>
      <c r="H58" s="116">
        <v>44355</v>
      </c>
      <c r="I58" s="40">
        <v>44354</v>
      </c>
      <c r="J58" s="233">
        <f t="shared" si="1"/>
        <v>1</v>
      </c>
      <c r="K58" s="368">
        <f t="shared" si="11"/>
        <v>8.6699999999999999E-2</v>
      </c>
      <c r="L58" s="364">
        <f t="shared" si="9"/>
        <v>0</v>
      </c>
      <c r="M58" s="364"/>
      <c r="N58" s="364"/>
      <c r="O58" s="271" t="s">
        <v>158</v>
      </c>
      <c r="P58" s="115" t="s">
        <v>161</v>
      </c>
    </row>
    <row r="59" spans="1:16" ht="16.5" customHeight="1" x14ac:dyDescent="0.25">
      <c r="A59" s="279">
        <v>4808</v>
      </c>
      <c r="B59" s="152">
        <v>1</v>
      </c>
      <c r="C59" s="153" t="s">
        <v>56</v>
      </c>
      <c r="D59" s="37">
        <v>1213.83</v>
      </c>
      <c r="E59" s="38">
        <f>ROUND(D59*B59,2)</f>
        <v>1213.83</v>
      </c>
      <c r="F59" s="39">
        <f>D59-E59</f>
        <v>0</v>
      </c>
      <c r="G59" s="37">
        <f t="shared" si="10"/>
        <v>97.106399999999994</v>
      </c>
      <c r="H59" s="116">
        <v>44355</v>
      </c>
      <c r="I59" s="40">
        <v>44354</v>
      </c>
      <c r="J59" s="233">
        <f t="shared" si="1"/>
        <v>1</v>
      </c>
      <c r="K59" s="368">
        <f t="shared" si="11"/>
        <v>8.6699999999999999E-2</v>
      </c>
      <c r="L59" s="364">
        <f t="shared" si="9"/>
        <v>0</v>
      </c>
      <c r="M59" s="364"/>
      <c r="N59" s="364"/>
      <c r="O59" s="271" t="s">
        <v>158</v>
      </c>
      <c r="P59" s="115" t="s">
        <v>161</v>
      </c>
    </row>
    <row r="60" spans="1:16" ht="16.5" customHeight="1" x14ac:dyDescent="0.25">
      <c r="A60" s="279">
        <v>5019</v>
      </c>
      <c r="B60" s="152">
        <v>1</v>
      </c>
      <c r="C60" s="153" t="s">
        <v>57</v>
      </c>
      <c r="D60" s="37">
        <v>4.1500000000000004</v>
      </c>
      <c r="E60" s="38">
        <f t="shared" si="3"/>
        <v>4.1500000000000004</v>
      </c>
      <c r="F60" s="39">
        <f t="shared" si="4"/>
        <v>0</v>
      </c>
      <c r="G60" s="37">
        <f t="shared" si="10"/>
        <v>0.33200000000000002</v>
      </c>
      <c r="H60" s="116">
        <v>44355</v>
      </c>
      <c r="I60" s="40">
        <v>44354</v>
      </c>
      <c r="J60" s="233">
        <f t="shared" si="1"/>
        <v>1</v>
      </c>
      <c r="K60" s="368">
        <f t="shared" si="11"/>
        <v>8.6699999999999999E-2</v>
      </c>
      <c r="L60" s="364">
        <f t="shared" si="9"/>
        <v>0</v>
      </c>
      <c r="M60" s="364"/>
      <c r="N60" s="364"/>
      <c r="O60" s="271" t="s">
        <v>158</v>
      </c>
      <c r="P60" s="115" t="s">
        <v>161</v>
      </c>
    </row>
    <row r="61" spans="1:16" ht="16.5" customHeight="1" x14ac:dyDescent="0.25">
      <c r="A61" s="279">
        <v>5152</v>
      </c>
      <c r="B61" s="152">
        <v>1</v>
      </c>
      <c r="C61" s="153" t="s">
        <v>114</v>
      </c>
      <c r="D61" s="37">
        <v>436.65</v>
      </c>
      <c r="E61" s="38">
        <f t="shared" si="3"/>
        <v>436.65</v>
      </c>
      <c r="F61" s="39">
        <f t="shared" si="4"/>
        <v>0</v>
      </c>
      <c r="G61" s="37">
        <f t="shared" si="10"/>
        <v>34.932000000000002</v>
      </c>
      <c r="H61" s="116">
        <v>44355</v>
      </c>
      <c r="I61" s="40">
        <v>44354</v>
      </c>
      <c r="J61" s="233">
        <f t="shared" si="1"/>
        <v>1</v>
      </c>
      <c r="K61" s="368">
        <f t="shared" si="11"/>
        <v>8.6699999999999999E-2</v>
      </c>
      <c r="L61" s="364">
        <f t="shared" si="9"/>
        <v>0</v>
      </c>
      <c r="M61" s="364"/>
      <c r="N61" s="364"/>
      <c r="O61" s="271" t="s">
        <v>158</v>
      </c>
      <c r="P61" s="115" t="s">
        <v>161</v>
      </c>
    </row>
    <row r="62" spans="1:16" ht="16.5" customHeight="1" x14ac:dyDescent="0.25">
      <c r="A62" s="279">
        <v>4150</v>
      </c>
      <c r="B62" s="152">
        <v>1</v>
      </c>
      <c r="C62" s="153" t="s">
        <v>58</v>
      </c>
      <c r="D62" s="37">
        <v>3.87</v>
      </c>
      <c r="E62" s="38">
        <f t="shared" si="3"/>
        <v>3.87</v>
      </c>
      <c r="F62" s="39">
        <f t="shared" si="4"/>
        <v>0</v>
      </c>
      <c r="G62" s="37">
        <f t="shared" si="10"/>
        <v>0.30960000000000004</v>
      </c>
      <c r="H62" s="116">
        <v>44355</v>
      </c>
      <c r="I62" s="40">
        <v>44354</v>
      </c>
      <c r="J62" s="233">
        <f t="shared" si="1"/>
        <v>1</v>
      </c>
      <c r="K62" s="368">
        <f t="shared" si="11"/>
        <v>8.6699999999999999E-2</v>
      </c>
      <c r="L62" s="364">
        <f t="shared" si="9"/>
        <v>0</v>
      </c>
      <c r="M62" s="364"/>
      <c r="N62" s="364"/>
      <c r="O62" s="271" t="s">
        <v>158</v>
      </c>
      <c r="P62" s="115" t="s">
        <v>161</v>
      </c>
    </row>
    <row r="63" spans="1:16" s="142" customFormat="1" ht="16.5" customHeight="1" x14ac:dyDescent="0.25">
      <c r="A63" s="279">
        <v>4820</v>
      </c>
      <c r="B63" s="152">
        <v>1</v>
      </c>
      <c r="C63" s="153" t="s">
        <v>59</v>
      </c>
      <c r="D63" s="37">
        <v>4.68</v>
      </c>
      <c r="E63" s="38">
        <f>ROUND(D63*B63,2)</f>
        <v>4.68</v>
      </c>
      <c r="F63" s="39">
        <f>D63-E63</f>
        <v>0</v>
      </c>
      <c r="G63" s="37">
        <f t="shared" si="10"/>
        <v>0.37440000000000001</v>
      </c>
      <c r="H63" s="116">
        <v>44355</v>
      </c>
      <c r="I63" s="40">
        <v>44354</v>
      </c>
      <c r="J63" s="233">
        <f t="shared" si="1"/>
        <v>1</v>
      </c>
      <c r="K63" s="368">
        <f t="shared" si="11"/>
        <v>8.6699999999999999E-2</v>
      </c>
      <c r="L63" s="364">
        <f t="shared" si="9"/>
        <v>0</v>
      </c>
      <c r="M63" s="364"/>
      <c r="N63" s="364"/>
      <c r="O63" s="271" t="s">
        <v>158</v>
      </c>
      <c r="P63" s="115" t="s">
        <v>161</v>
      </c>
    </row>
    <row r="64" spans="1:16" ht="16.5" customHeight="1" x14ac:dyDescent="0.25">
      <c r="A64" s="279">
        <v>5000</v>
      </c>
      <c r="B64" s="152">
        <v>1</v>
      </c>
      <c r="C64" s="153" t="s">
        <v>61</v>
      </c>
      <c r="D64" s="37">
        <v>54.11</v>
      </c>
      <c r="E64" s="38">
        <f t="shared" si="3"/>
        <v>54.11</v>
      </c>
      <c r="F64" s="39">
        <f t="shared" ref="F64:F105" si="12">D64-E64</f>
        <v>0</v>
      </c>
      <c r="G64" s="37">
        <f t="shared" si="10"/>
        <v>4.3288000000000002</v>
      </c>
      <c r="H64" s="116">
        <v>44355</v>
      </c>
      <c r="I64" s="40">
        <v>44354</v>
      </c>
      <c r="J64" s="233">
        <f t="shared" si="1"/>
        <v>1</v>
      </c>
      <c r="K64" s="368">
        <f t="shared" si="11"/>
        <v>8.6699999999999999E-2</v>
      </c>
      <c r="L64" s="364">
        <f t="shared" si="9"/>
        <v>0</v>
      </c>
      <c r="M64" s="364"/>
      <c r="N64" s="364"/>
      <c r="O64" s="271" t="s">
        <v>158</v>
      </c>
      <c r="P64" s="115" t="s">
        <v>161</v>
      </c>
    </row>
    <row r="65" spans="1:16" ht="16.5" customHeight="1" x14ac:dyDescent="0.25">
      <c r="A65" s="279">
        <v>5150</v>
      </c>
      <c r="B65" s="152">
        <v>1</v>
      </c>
      <c r="C65" s="153" t="s">
        <v>107</v>
      </c>
      <c r="D65" s="37">
        <v>477.25</v>
      </c>
      <c r="E65" s="38">
        <f t="shared" si="3"/>
        <v>477.25</v>
      </c>
      <c r="F65" s="39">
        <f t="shared" si="12"/>
        <v>0</v>
      </c>
      <c r="G65" s="37">
        <f t="shared" si="10"/>
        <v>38.18</v>
      </c>
      <c r="H65" s="116">
        <v>44355</v>
      </c>
      <c r="I65" s="40">
        <v>44354</v>
      </c>
      <c r="J65" s="233">
        <f t="shared" si="1"/>
        <v>1</v>
      </c>
      <c r="K65" s="368">
        <f t="shared" si="11"/>
        <v>8.6699999999999999E-2</v>
      </c>
      <c r="L65" s="364">
        <f t="shared" si="9"/>
        <v>0</v>
      </c>
      <c r="M65" s="364"/>
      <c r="N65" s="364"/>
      <c r="O65" s="271" t="s">
        <v>150</v>
      </c>
      <c r="P65" s="115" t="s">
        <v>175</v>
      </c>
    </row>
    <row r="66" spans="1:16" ht="16.5" customHeight="1" x14ac:dyDescent="0.25">
      <c r="A66" s="279">
        <v>5154</v>
      </c>
      <c r="B66" s="152">
        <v>1</v>
      </c>
      <c r="C66" s="153" t="s">
        <v>115</v>
      </c>
      <c r="D66" s="37">
        <v>770.76</v>
      </c>
      <c r="E66" s="38">
        <f t="shared" si="3"/>
        <v>770.76</v>
      </c>
      <c r="F66" s="39">
        <f t="shared" si="12"/>
        <v>0</v>
      </c>
      <c r="G66" s="37">
        <f t="shared" si="10"/>
        <v>61.660800000000002</v>
      </c>
      <c r="H66" s="116">
        <v>44355</v>
      </c>
      <c r="I66" s="40">
        <v>44354</v>
      </c>
      <c r="J66" s="233">
        <f t="shared" ref="J66:J105" si="13">H66-I66</f>
        <v>1</v>
      </c>
      <c r="K66" s="368">
        <f t="shared" si="11"/>
        <v>8.6699999999999999E-2</v>
      </c>
      <c r="L66" s="364">
        <f t="shared" si="9"/>
        <v>0</v>
      </c>
      <c r="M66" s="364"/>
      <c r="N66" s="364"/>
      <c r="O66" s="271" t="s">
        <v>158</v>
      </c>
      <c r="P66" s="115" t="s">
        <v>161</v>
      </c>
    </row>
    <row r="67" spans="1:16" ht="16.5" customHeight="1" x14ac:dyDescent="0.25">
      <c r="A67" s="279">
        <v>5086</v>
      </c>
      <c r="B67" s="152">
        <v>1</v>
      </c>
      <c r="C67" s="153" t="s">
        <v>62</v>
      </c>
      <c r="D67" s="37">
        <v>2.85</v>
      </c>
      <c r="E67" s="38">
        <f t="shared" ref="E67:E105" si="14">ROUND(D67*B67,2)</f>
        <v>2.85</v>
      </c>
      <c r="F67" s="39">
        <f t="shared" si="12"/>
        <v>0</v>
      </c>
      <c r="G67" s="37">
        <f t="shared" si="10"/>
        <v>0.22800000000000001</v>
      </c>
      <c r="H67" s="116">
        <v>44355</v>
      </c>
      <c r="I67" s="40">
        <v>44354</v>
      </c>
      <c r="J67" s="233">
        <f t="shared" si="13"/>
        <v>1</v>
      </c>
      <c r="K67" s="368">
        <f t="shared" si="11"/>
        <v>8.6699999999999999E-2</v>
      </c>
      <c r="L67" s="364">
        <f t="shared" si="9"/>
        <v>0</v>
      </c>
      <c r="M67" s="364"/>
      <c r="N67" s="364"/>
      <c r="O67" s="271" t="s">
        <v>158</v>
      </c>
      <c r="P67" s="115" t="s">
        <v>161</v>
      </c>
    </row>
    <row r="68" spans="1:16" ht="16.5" customHeight="1" x14ac:dyDescent="0.25">
      <c r="A68" s="279">
        <v>329</v>
      </c>
      <c r="B68" s="152">
        <v>1</v>
      </c>
      <c r="C68" s="153" t="s">
        <v>64</v>
      </c>
      <c r="D68" s="37">
        <v>10.79</v>
      </c>
      <c r="E68" s="38">
        <f t="shared" si="14"/>
        <v>10.79</v>
      </c>
      <c r="F68" s="39">
        <f t="shared" si="12"/>
        <v>0</v>
      </c>
      <c r="G68" s="37">
        <f t="shared" si="10"/>
        <v>0.86319999999999997</v>
      </c>
      <c r="H68" s="116">
        <v>44355</v>
      </c>
      <c r="I68" s="40">
        <v>44354</v>
      </c>
      <c r="J68" s="233">
        <f t="shared" si="13"/>
        <v>1</v>
      </c>
      <c r="K68" s="368">
        <f t="shared" si="11"/>
        <v>8.6699999999999999E-2</v>
      </c>
      <c r="L68" s="364">
        <f t="shared" ref="L68:L96" si="15">SUM(F68)*K68</f>
        <v>0</v>
      </c>
      <c r="M68" s="364"/>
      <c r="N68" s="364"/>
      <c r="O68" s="271" t="s">
        <v>158</v>
      </c>
      <c r="P68" s="115" t="s">
        <v>161</v>
      </c>
    </row>
    <row r="69" spans="1:16" ht="16.5" customHeight="1" x14ac:dyDescent="0.25">
      <c r="A69" s="279">
        <v>5059</v>
      </c>
      <c r="B69" s="152">
        <v>1</v>
      </c>
      <c r="C69" s="153" t="s">
        <v>65</v>
      </c>
      <c r="D69" s="37">
        <v>467.89</v>
      </c>
      <c r="E69" s="38">
        <f t="shared" si="14"/>
        <v>467.89</v>
      </c>
      <c r="F69" s="39">
        <f t="shared" si="12"/>
        <v>0</v>
      </c>
      <c r="G69" s="37">
        <f t="shared" si="10"/>
        <v>37.431199999999997</v>
      </c>
      <c r="H69" s="116">
        <v>44355</v>
      </c>
      <c r="I69" s="40">
        <v>44354</v>
      </c>
      <c r="J69" s="233">
        <f t="shared" si="13"/>
        <v>1</v>
      </c>
      <c r="K69" s="368">
        <f t="shared" si="11"/>
        <v>8.6699999999999999E-2</v>
      </c>
      <c r="L69" s="364">
        <f t="shared" si="15"/>
        <v>0</v>
      </c>
      <c r="M69" s="364"/>
      <c r="N69" s="364"/>
      <c r="O69" s="271" t="s">
        <v>158</v>
      </c>
      <c r="P69" s="115" t="s">
        <v>161</v>
      </c>
    </row>
    <row r="70" spans="1:16" ht="16.5" customHeight="1" x14ac:dyDescent="0.25">
      <c r="A70" s="279">
        <v>5115</v>
      </c>
      <c r="B70" s="152">
        <v>1</v>
      </c>
      <c r="C70" s="153" t="s">
        <v>66</v>
      </c>
      <c r="D70" s="37">
        <v>1040.6400000000001</v>
      </c>
      <c r="E70" s="38">
        <f t="shared" si="14"/>
        <v>1040.6400000000001</v>
      </c>
      <c r="F70" s="39">
        <f t="shared" si="12"/>
        <v>0</v>
      </c>
      <c r="G70" s="37">
        <f t="shared" si="10"/>
        <v>83.251200000000011</v>
      </c>
      <c r="H70" s="116">
        <v>44379</v>
      </c>
      <c r="I70" s="40">
        <v>44354</v>
      </c>
      <c r="J70" s="233">
        <f t="shared" si="13"/>
        <v>25</v>
      </c>
      <c r="K70" s="368">
        <f t="shared" si="11"/>
        <v>8.6699999999999999E-2</v>
      </c>
      <c r="L70" s="364">
        <f t="shared" si="15"/>
        <v>0</v>
      </c>
      <c r="M70" s="364"/>
      <c r="N70" s="364"/>
      <c r="O70" s="271" t="s">
        <v>150</v>
      </c>
      <c r="P70" s="115" t="s">
        <v>154</v>
      </c>
    </row>
    <row r="71" spans="1:16" ht="16.5" customHeight="1" x14ac:dyDescent="0.25">
      <c r="A71" s="279">
        <v>5128</v>
      </c>
      <c r="B71" s="152">
        <v>1</v>
      </c>
      <c r="C71" s="153" t="s">
        <v>67</v>
      </c>
      <c r="D71" s="37">
        <v>766.96</v>
      </c>
      <c r="E71" s="38">
        <f t="shared" si="14"/>
        <v>766.96</v>
      </c>
      <c r="F71" s="39">
        <f t="shared" si="12"/>
        <v>0</v>
      </c>
      <c r="G71" s="37">
        <f t="shared" si="10"/>
        <v>61.356800000000007</v>
      </c>
      <c r="H71" s="116">
        <v>44355</v>
      </c>
      <c r="I71" s="40">
        <v>44354</v>
      </c>
      <c r="J71" s="233">
        <f t="shared" si="13"/>
        <v>1</v>
      </c>
      <c r="K71" s="368">
        <f t="shared" si="11"/>
        <v>8.6699999999999999E-2</v>
      </c>
      <c r="L71" s="364">
        <f t="shared" si="15"/>
        <v>0</v>
      </c>
      <c r="M71" s="364"/>
      <c r="N71" s="364"/>
      <c r="O71" s="271" t="s">
        <v>158</v>
      </c>
      <c r="P71" s="115" t="s">
        <v>161</v>
      </c>
    </row>
    <row r="72" spans="1:16" ht="16.5" customHeight="1" x14ac:dyDescent="0.25">
      <c r="A72" s="279">
        <v>5106</v>
      </c>
      <c r="B72" s="152">
        <v>1</v>
      </c>
      <c r="C72" s="153" t="s">
        <v>68</v>
      </c>
      <c r="D72" s="37">
        <v>684.67</v>
      </c>
      <c r="E72" s="38">
        <f t="shared" si="14"/>
        <v>684.67</v>
      </c>
      <c r="F72" s="39">
        <f t="shared" si="12"/>
        <v>0</v>
      </c>
      <c r="G72" s="37">
        <f t="shared" si="10"/>
        <v>54.773599999999995</v>
      </c>
      <c r="H72" s="116">
        <v>44355</v>
      </c>
      <c r="I72" s="40">
        <v>44354</v>
      </c>
      <c r="J72" s="233">
        <f t="shared" si="13"/>
        <v>1</v>
      </c>
      <c r="K72" s="368">
        <f t="shared" si="11"/>
        <v>8.6699999999999999E-2</v>
      </c>
      <c r="L72" s="364">
        <f t="shared" si="15"/>
        <v>0</v>
      </c>
      <c r="M72" s="364"/>
      <c r="N72" s="364"/>
      <c r="O72" s="271" t="s">
        <v>158</v>
      </c>
      <c r="P72" s="115" t="s">
        <v>161</v>
      </c>
    </row>
    <row r="73" spans="1:16" ht="16.5" customHeight="1" x14ac:dyDescent="0.25">
      <c r="A73" s="279">
        <v>5145</v>
      </c>
      <c r="B73" s="152">
        <v>1</v>
      </c>
      <c r="C73" s="153" t="s">
        <v>109</v>
      </c>
      <c r="D73" s="37">
        <v>822.03</v>
      </c>
      <c r="E73" s="38">
        <f t="shared" si="14"/>
        <v>822.03</v>
      </c>
      <c r="F73" s="39">
        <f t="shared" si="12"/>
        <v>0</v>
      </c>
      <c r="G73" s="37">
        <f t="shared" si="10"/>
        <v>65.7624</v>
      </c>
      <c r="H73" s="116">
        <v>44355</v>
      </c>
      <c r="I73" s="40">
        <v>44354</v>
      </c>
      <c r="J73" s="233">
        <f t="shared" si="13"/>
        <v>1</v>
      </c>
      <c r="K73" s="368">
        <f t="shared" si="11"/>
        <v>8.6699999999999999E-2</v>
      </c>
      <c r="L73" s="364">
        <f t="shared" si="15"/>
        <v>0</v>
      </c>
      <c r="M73" s="364"/>
      <c r="N73" s="364"/>
      <c r="O73" s="271" t="s">
        <v>158</v>
      </c>
      <c r="P73" s="115" t="s">
        <v>161</v>
      </c>
    </row>
    <row r="74" spans="1:16" ht="16.5" customHeight="1" x14ac:dyDescent="0.25">
      <c r="A74" s="279">
        <v>5134</v>
      </c>
      <c r="B74" s="152">
        <v>1</v>
      </c>
      <c r="C74" s="153" t="s">
        <v>69</v>
      </c>
      <c r="D74" s="37">
        <v>385.42</v>
      </c>
      <c r="E74" s="38">
        <f t="shared" si="14"/>
        <v>385.42</v>
      </c>
      <c r="F74" s="39">
        <f t="shared" si="12"/>
        <v>0</v>
      </c>
      <c r="G74" s="37">
        <f t="shared" si="10"/>
        <v>30.833600000000001</v>
      </c>
      <c r="H74" s="116">
        <v>44355</v>
      </c>
      <c r="I74" s="40">
        <v>44354</v>
      </c>
      <c r="J74" s="233">
        <f t="shared" si="13"/>
        <v>1</v>
      </c>
      <c r="K74" s="368">
        <f t="shared" si="11"/>
        <v>8.6699999999999999E-2</v>
      </c>
      <c r="L74" s="364">
        <f t="shared" si="15"/>
        <v>0</v>
      </c>
      <c r="M74" s="364"/>
      <c r="N74" s="364"/>
      <c r="O74" s="271" t="s">
        <v>150</v>
      </c>
      <c r="P74" s="115" t="s">
        <v>189</v>
      </c>
    </row>
    <row r="75" spans="1:16" ht="16.5" customHeight="1" x14ac:dyDescent="0.25">
      <c r="A75" s="279">
        <v>5083</v>
      </c>
      <c r="B75" s="152">
        <v>1</v>
      </c>
      <c r="C75" s="153" t="s">
        <v>71</v>
      </c>
      <c r="D75" s="37">
        <v>2.85</v>
      </c>
      <c r="E75" s="38">
        <f t="shared" si="14"/>
        <v>2.85</v>
      </c>
      <c r="F75" s="39">
        <f t="shared" si="12"/>
        <v>0</v>
      </c>
      <c r="G75" s="37">
        <f t="shared" si="10"/>
        <v>0.22800000000000001</v>
      </c>
      <c r="H75" s="40">
        <v>44355</v>
      </c>
      <c r="I75" s="40">
        <v>44354</v>
      </c>
      <c r="J75" s="233">
        <f t="shared" si="13"/>
        <v>1</v>
      </c>
      <c r="K75" s="368">
        <f>K74</f>
        <v>8.6699999999999999E-2</v>
      </c>
      <c r="L75" s="364">
        <f t="shared" si="15"/>
        <v>0</v>
      </c>
      <c r="M75" s="364"/>
      <c r="N75" s="364"/>
      <c r="O75" s="271" t="s">
        <v>158</v>
      </c>
      <c r="P75" s="115" t="s">
        <v>161</v>
      </c>
    </row>
    <row r="76" spans="1:16" ht="16.5" customHeight="1" x14ac:dyDescent="0.25">
      <c r="A76" s="279">
        <v>4285</v>
      </c>
      <c r="B76" s="152">
        <v>1</v>
      </c>
      <c r="C76" s="153" t="s">
        <v>72</v>
      </c>
      <c r="D76" s="37">
        <v>106.41</v>
      </c>
      <c r="E76" s="38">
        <f t="shared" si="14"/>
        <v>106.41</v>
      </c>
      <c r="F76" s="39">
        <f t="shared" si="12"/>
        <v>0</v>
      </c>
      <c r="G76" s="37">
        <f t="shared" si="10"/>
        <v>8.5128000000000004</v>
      </c>
      <c r="H76" s="40">
        <v>44355</v>
      </c>
      <c r="I76" s="40">
        <v>44354</v>
      </c>
      <c r="J76" s="233">
        <f t="shared" si="13"/>
        <v>1</v>
      </c>
      <c r="K76" s="368">
        <f t="shared" si="11"/>
        <v>8.6699999999999999E-2</v>
      </c>
      <c r="L76" s="364">
        <f t="shared" si="15"/>
        <v>0</v>
      </c>
      <c r="M76" s="364"/>
      <c r="N76" s="364"/>
      <c r="O76" s="271" t="s">
        <v>158</v>
      </c>
      <c r="P76" s="115" t="s">
        <v>151</v>
      </c>
    </row>
    <row r="77" spans="1:16" ht="16.5" customHeight="1" x14ac:dyDescent="0.25">
      <c r="A77" s="281">
        <v>5121</v>
      </c>
      <c r="B77" s="152">
        <v>1</v>
      </c>
      <c r="C77" s="153" t="s">
        <v>73</v>
      </c>
      <c r="D77" s="37">
        <v>740.1</v>
      </c>
      <c r="E77" s="38">
        <f t="shared" si="14"/>
        <v>740.1</v>
      </c>
      <c r="F77" s="39">
        <f t="shared" si="12"/>
        <v>0</v>
      </c>
      <c r="G77" s="37">
        <f t="shared" si="10"/>
        <v>59.208000000000006</v>
      </c>
      <c r="H77" s="40">
        <v>44355</v>
      </c>
      <c r="I77" s="40">
        <v>44354</v>
      </c>
      <c r="J77" s="233">
        <f t="shared" si="13"/>
        <v>1</v>
      </c>
      <c r="K77" s="368">
        <f t="shared" si="11"/>
        <v>8.6699999999999999E-2</v>
      </c>
      <c r="L77" s="364">
        <f t="shared" si="15"/>
        <v>0</v>
      </c>
      <c r="M77" s="364"/>
      <c r="N77" s="364"/>
      <c r="O77" s="271" t="s">
        <v>158</v>
      </c>
      <c r="P77" s="115" t="s">
        <v>161</v>
      </c>
    </row>
    <row r="78" spans="1:16" ht="16.5" customHeight="1" x14ac:dyDescent="0.25">
      <c r="A78" s="279">
        <v>5074</v>
      </c>
      <c r="B78" s="152">
        <v>1</v>
      </c>
      <c r="C78" s="153" t="s">
        <v>74</v>
      </c>
      <c r="D78" s="37">
        <v>3498.01</v>
      </c>
      <c r="E78" s="38">
        <v>2000</v>
      </c>
      <c r="F78" s="39">
        <f>D78-E78-E79</f>
        <v>0</v>
      </c>
      <c r="G78" s="37">
        <f t="shared" si="10"/>
        <v>279.8408</v>
      </c>
      <c r="H78" s="40">
        <v>44356</v>
      </c>
      <c r="I78" s="40">
        <v>44354</v>
      </c>
      <c r="J78" s="233">
        <f t="shared" si="13"/>
        <v>2</v>
      </c>
      <c r="K78" s="368">
        <f t="shared" si="11"/>
        <v>8.6699999999999999E-2</v>
      </c>
      <c r="L78" s="364">
        <f t="shared" si="15"/>
        <v>0</v>
      </c>
      <c r="M78" s="364"/>
      <c r="N78" s="364"/>
      <c r="O78" s="271" t="s">
        <v>150</v>
      </c>
      <c r="P78" s="115" t="s">
        <v>151</v>
      </c>
    </row>
    <row r="79" spans="1:16" ht="16.5" customHeight="1" x14ac:dyDescent="0.25">
      <c r="A79" s="279">
        <v>5074</v>
      </c>
      <c r="B79" s="152">
        <v>1</v>
      </c>
      <c r="C79" s="153" t="s">
        <v>74</v>
      </c>
      <c r="D79" s="37">
        <v>0</v>
      </c>
      <c r="E79" s="38">
        <f>D78-E78</f>
        <v>1498.0100000000002</v>
      </c>
      <c r="F79" s="39">
        <v>0</v>
      </c>
      <c r="G79" s="37">
        <f t="shared" si="10"/>
        <v>0</v>
      </c>
      <c r="H79" s="40">
        <v>44357</v>
      </c>
      <c r="I79" s="40">
        <v>44354</v>
      </c>
      <c r="J79" s="233">
        <f t="shared" si="13"/>
        <v>3</v>
      </c>
      <c r="K79" s="368">
        <f t="shared" si="11"/>
        <v>8.6699999999999999E-2</v>
      </c>
      <c r="L79" s="364">
        <f t="shared" si="15"/>
        <v>0</v>
      </c>
      <c r="M79" s="364"/>
      <c r="N79" s="364"/>
      <c r="O79" s="271" t="s">
        <v>150</v>
      </c>
      <c r="P79" s="115" t="s">
        <v>151</v>
      </c>
    </row>
    <row r="80" spans="1:16" ht="16.5" customHeight="1" x14ac:dyDescent="0.25">
      <c r="A80" s="279">
        <v>5153</v>
      </c>
      <c r="B80" s="152">
        <v>1</v>
      </c>
      <c r="C80" s="153" t="s">
        <v>110</v>
      </c>
      <c r="D80" s="37">
        <v>873.3</v>
      </c>
      <c r="E80" s="38">
        <f t="shared" si="14"/>
        <v>873.3</v>
      </c>
      <c r="F80" s="39">
        <f t="shared" si="12"/>
        <v>0</v>
      </c>
      <c r="G80" s="37">
        <f t="shared" si="10"/>
        <v>69.864000000000004</v>
      </c>
      <c r="H80" s="40">
        <v>44355</v>
      </c>
      <c r="I80" s="40">
        <v>44354</v>
      </c>
      <c r="J80" s="233">
        <f t="shared" si="13"/>
        <v>1</v>
      </c>
      <c r="K80" s="368">
        <f t="shared" si="11"/>
        <v>8.6699999999999999E-2</v>
      </c>
      <c r="L80" s="364">
        <f t="shared" si="15"/>
        <v>0</v>
      </c>
      <c r="M80" s="364"/>
      <c r="N80" s="364"/>
      <c r="O80" s="271" t="s">
        <v>158</v>
      </c>
      <c r="P80" s="115" t="s">
        <v>161</v>
      </c>
    </row>
    <row r="81" spans="1:17" ht="16.5" customHeight="1" x14ac:dyDescent="0.25">
      <c r="A81" s="279">
        <v>5100</v>
      </c>
      <c r="B81" s="152">
        <v>1</v>
      </c>
      <c r="C81" s="153" t="s">
        <v>77</v>
      </c>
      <c r="D81" s="37">
        <v>1775.94</v>
      </c>
      <c r="E81" s="38">
        <f t="shared" si="14"/>
        <v>1775.94</v>
      </c>
      <c r="F81" s="39">
        <f t="shared" si="12"/>
        <v>0</v>
      </c>
      <c r="G81" s="37">
        <f t="shared" si="10"/>
        <v>142.0752</v>
      </c>
      <c r="H81" s="40">
        <v>44356</v>
      </c>
      <c r="I81" s="40">
        <v>44354</v>
      </c>
      <c r="J81" s="233">
        <f t="shared" si="13"/>
        <v>2</v>
      </c>
      <c r="K81" s="368">
        <f t="shared" si="11"/>
        <v>8.6699999999999999E-2</v>
      </c>
      <c r="L81" s="364">
        <f t="shared" si="15"/>
        <v>0</v>
      </c>
      <c r="M81" s="364"/>
      <c r="N81" s="364"/>
      <c r="O81" s="271" t="s">
        <v>158</v>
      </c>
      <c r="P81" s="115" t="s">
        <v>161</v>
      </c>
    </row>
    <row r="82" spans="1:17" ht="16.5" customHeight="1" x14ac:dyDescent="0.25">
      <c r="A82" s="279">
        <v>5084</v>
      </c>
      <c r="B82" s="152">
        <v>1</v>
      </c>
      <c r="C82" s="153" t="s">
        <v>78</v>
      </c>
      <c r="D82" s="37">
        <v>1153.8800000000001</v>
      </c>
      <c r="E82" s="38">
        <f t="shared" si="14"/>
        <v>1153.8800000000001</v>
      </c>
      <c r="F82" s="39">
        <f t="shared" si="12"/>
        <v>0</v>
      </c>
      <c r="G82" s="37">
        <f t="shared" si="10"/>
        <v>92.310400000000016</v>
      </c>
      <c r="H82" s="40">
        <v>44356</v>
      </c>
      <c r="I82" s="40">
        <v>44354</v>
      </c>
      <c r="J82" s="233">
        <f t="shared" si="13"/>
        <v>2</v>
      </c>
      <c r="K82" s="368">
        <f t="shared" si="11"/>
        <v>8.6699999999999999E-2</v>
      </c>
      <c r="L82" s="364">
        <f t="shared" si="15"/>
        <v>0</v>
      </c>
      <c r="M82" s="364"/>
      <c r="N82" s="364"/>
      <c r="O82" s="271" t="s">
        <v>158</v>
      </c>
      <c r="P82" s="115" t="s">
        <v>161</v>
      </c>
    </row>
    <row r="83" spans="1:17" ht="16.5" customHeight="1" x14ac:dyDescent="0.25">
      <c r="A83" s="279">
        <v>5142</v>
      </c>
      <c r="B83" s="152">
        <v>1</v>
      </c>
      <c r="C83" s="153" t="s">
        <v>79</v>
      </c>
      <c r="D83" s="37">
        <v>770.84</v>
      </c>
      <c r="E83" s="38">
        <f t="shared" si="14"/>
        <v>770.84</v>
      </c>
      <c r="F83" s="39">
        <f t="shared" si="12"/>
        <v>0</v>
      </c>
      <c r="G83" s="37">
        <f t="shared" si="10"/>
        <v>61.667200000000001</v>
      </c>
      <c r="H83" s="40">
        <v>44355</v>
      </c>
      <c r="I83" s="40">
        <v>44354</v>
      </c>
      <c r="J83" s="233">
        <f t="shared" si="13"/>
        <v>1</v>
      </c>
      <c r="K83" s="368">
        <f t="shared" si="11"/>
        <v>8.6699999999999999E-2</v>
      </c>
      <c r="L83" s="364">
        <f t="shared" si="15"/>
        <v>0</v>
      </c>
      <c r="M83" s="364"/>
      <c r="N83" s="364"/>
      <c r="O83" s="271" t="s">
        <v>158</v>
      </c>
      <c r="P83" s="115" t="s">
        <v>161</v>
      </c>
    </row>
    <row r="84" spans="1:17" ht="16.5" customHeight="1" x14ac:dyDescent="0.25">
      <c r="A84" s="279">
        <v>5155</v>
      </c>
      <c r="B84" s="152">
        <v>1</v>
      </c>
      <c r="C84" s="153" t="s">
        <v>111</v>
      </c>
      <c r="D84" s="37">
        <v>770.76</v>
      </c>
      <c r="E84" s="38">
        <f t="shared" si="14"/>
        <v>770.76</v>
      </c>
      <c r="F84" s="39">
        <f t="shared" si="12"/>
        <v>0</v>
      </c>
      <c r="G84" s="37">
        <f t="shared" si="10"/>
        <v>61.660800000000002</v>
      </c>
      <c r="H84" s="40">
        <v>44355</v>
      </c>
      <c r="I84" s="40">
        <v>44354</v>
      </c>
      <c r="J84" s="233">
        <f t="shared" si="13"/>
        <v>1</v>
      </c>
      <c r="K84" s="368">
        <f t="shared" si="11"/>
        <v>8.6699999999999999E-2</v>
      </c>
      <c r="L84" s="364">
        <f t="shared" si="15"/>
        <v>0</v>
      </c>
      <c r="M84" s="364"/>
      <c r="N84" s="364"/>
      <c r="O84" s="271" t="s">
        <v>158</v>
      </c>
      <c r="P84" s="115" t="s">
        <v>161</v>
      </c>
    </row>
    <row r="85" spans="1:17" ht="16.5" customHeight="1" x14ac:dyDescent="0.25">
      <c r="A85" s="279">
        <v>5082</v>
      </c>
      <c r="B85" s="152">
        <v>1</v>
      </c>
      <c r="C85" s="153" t="s">
        <v>80</v>
      </c>
      <c r="D85" s="37">
        <v>1984.94</v>
      </c>
      <c r="E85" s="38">
        <f t="shared" si="14"/>
        <v>1984.94</v>
      </c>
      <c r="F85" s="39">
        <f t="shared" si="12"/>
        <v>0</v>
      </c>
      <c r="G85" s="37">
        <f t="shared" si="10"/>
        <v>158.79519999999999</v>
      </c>
      <c r="H85" s="40">
        <v>44355</v>
      </c>
      <c r="I85" s="40">
        <v>44354</v>
      </c>
      <c r="J85" s="233">
        <f t="shared" si="13"/>
        <v>1</v>
      </c>
      <c r="K85" s="368">
        <f t="shared" si="11"/>
        <v>8.6699999999999999E-2</v>
      </c>
      <c r="L85" s="364">
        <f t="shared" si="15"/>
        <v>0</v>
      </c>
      <c r="M85" s="364"/>
      <c r="N85" s="364"/>
      <c r="O85" s="271" t="s">
        <v>158</v>
      </c>
      <c r="P85" s="115" t="s">
        <v>161</v>
      </c>
    </row>
    <row r="86" spans="1:17" ht="16.5" customHeight="1" x14ac:dyDescent="0.25">
      <c r="A86" s="279">
        <v>5130</v>
      </c>
      <c r="B86" s="152">
        <v>1</v>
      </c>
      <c r="C86" s="153" t="s">
        <v>81</v>
      </c>
      <c r="D86" s="37">
        <v>822.11</v>
      </c>
      <c r="E86" s="38">
        <f t="shared" si="14"/>
        <v>822.11</v>
      </c>
      <c r="F86" s="39">
        <f t="shared" si="12"/>
        <v>0</v>
      </c>
      <c r="G86" s="37">
        <f t="shared" si="10"/>
        <v>65.768799999999999</v>
      </c>
      <c r="H86" s="40">
        <v>44355</v>
      </c>
      <c r="I86" s="40">
        <v>44354</v>
      </c>
      <c r="J86" s="233">
        <f t="shared" si="13"/>
        <v>1</v>
      </c>
      <c r="K86" s="368">
        <f t="shared" si="11"/>
        <v>8.6699999999999999E-2</v>
      </c>
      <c r="L86" s="364">
        <f t="shared" si="15"/>
        <v>0</v>
      </c>
      <c r="M86" s="364"/>
      <c r="N86" s="364"/>
      <c r="O86" s="271" t="s">
        <v>158</v>
      </c>
      <c r="P86" s="115" t="s">
        <v>161</v>
      </c>
    </row>
    <row r="87" spans="1:17" ht="16.5" customHeight="1" x14ac:dyDescent="0.25">
      <c r="A87" s="279">
        <v>5095</v>
      </c>
      <c r="B87" s="152">
        <v>1</v>
      </c>
      <c r="C87" s="153" t="s">
        <v>82</v>
      </c>
      <c r="D87" s="37">
        <v>1533.01</v>
      </c>
      <c r="E87" s="38">
        <f t="shared" si="14"/>
        <v>1533.01</v>
      </c>
      <c r="F87" s="39">
        <f t="shared" si="12"/>
        <v>0</v>
      </c>
      <c r="G87" s="37">
        <f t="shared" si="10"/>
        <v>122.6408</v>
      </c>
      <c r="H87" s="40">
        <v>44355</v>
      </c>
      <c r="I87" s="40">
        <v>44354</v>
      </c>
      <c r="J87" s="233">
        <f t="shared" si="13"/>
        <v>1</v>
      </c>
      <c r="K87" s="368">
        <f t="shared" si="11"/>
        <v>8.6699999999999999E-2</v>
      </c>
      <c r="L87" s="364">
        <f t="shared" si="15"/>
        <v>0</v>
      </c>
      <c r="M87" s="364"/>
      <c r="N87" s="364"/>
      <c r="O87" s="271" t="s">
        <v>158</v>
      </c>
      <c r="P87" s="115" t="s">
        <v>161</v>
      </c>
    </row>
    <row r="88" spans="1:17" ht="16.5" customHeight="1" x14ac:dyDescent="0.25">
      <c r="A88" s="279">
        <v>4345</v>
      </c>
      <c r="B88" s="152">
        <v>1</v>
      </c>
      <c r="C88" s="153" t="s">
        <v>112</v>
      </c>
      <c r="D88" s="37">
        <v>6.01</v>
      </c>
      <c r="E88" s="38">
        <f t="shared" si="14"/>
        <v>6.01</v>
      </c>
      <c r="F88" s="193">
        <f t="shared" si="12"/>
        <v>0</v>
      </c>
      <c r="G88" s="37">
        <f t="shared" si="10"/>
        <v>0.48080000000000001</v>
      </c>
      <c r="H88" s="40">
        <v>44355</v>
      </c>
      <c r="I88" s="40">
        <v>44354</v>
      </c>
      <c r="J88" s="233">
        <f t="shared" si="13"/>
        <v>1</v>
      </c>
      <c r="K88" s="368">
        <f t="shared" si="11"/>
        <v>8.6699999999999999E-2</v>
      </c>
      <c r="L88" s="364">
        <f t="shared" si="15"/>
        <v>0</v>
      </c>
      <c r="M88" s="364"/>
      <c r="N88" s="364"/>
      <c r="O88" s="271" t="s">
        <v>158</v>
      </c>
      <c r="P88" s="115" t="s">
        <v>161</v>
      </c>
      <c r="Q88" s="140"/>
    </row>
    <row r="89" spans="1:17" ht="16.5" customHeight="1" x14ac:dyDescent="0.25">
      <c r="A89" s="279">
        <v>4945</v>
      </c>
      <c r="B89" s="152">
        <v>1</v>
      </c>
      <c r="C89" s="153" t="s">
        <v>84</v>
      </c>
      <c r="D89" s="37">
        <v>51.8</v>
      </c>
      <c r="E89" s="155">
        <f t="shared" si="14"/>
        <v>51.8</v>
      </c>
      <c r="F89" s="37">
        <f t="shared" si="12"/>
        <v>0</v>
      </c>
      <c r="G89" s="37">
        <f t="shared" si="10"/>
        <v>4.1440000000000001</v>
      </c>
      <c r="H89" s="40">
        <v>44355</v>
      </c>
      <c r="I89" s="40">
        <v>44354</v>
      </c>
      <c r="J89" s="233">
        <f t="shared" si="13"/>
        <v>1</v>
      </c>
      <c r="K89" s="368">
        <f>K88</f>
        <v>8.6699999999999999E-2</v>
      </c>
      <c r="L89" s="364">
        <f t="shared" si="15"/>
        <v>0</v>
      </c>
      <c r="M89" s="364"/>
      <c r="N89" s="364"/>
      <c r="O89" s="271" t="s">
        <v>158</v>
      </c>
      <c r="P89" s="115" t="s">
        <v>161</v>
      </c>
    </row>
    <row r="90" spans="1:17" ht="16.5" customHeight="1" x14ac:dyDescent="0.25">
      <c r="A90" s="279">
        <v>663</v>
      </c>
      <c r="B90" s="152">
        <v>1</v>
      </c>
      <c r="C90" s="153" t="s">
        <v>85</v>
      </c>
      <c r="D90" s="37">
        <v>6.31</v>
      </c>
      <c r="E90" s="38">
        <f t="shared" si="14"/>
        <v>6.31</v>
      </c>
      <c r="F90" s="39">
        <f t="shared" si="12"/>
        <v>0</v>
      </c>
      <c r="G90" s="37">
        <f t="shared" si="10"/>
        <v>0.50480000000000003</v>
      </c>
      <c r="H90" s="40">
        <v>44355</v>
      </c>
      <c r="I90" s="40">
        <v>44354</v>
      </c>
      <c r="J90" s="233">
        <f t="shared" si="13"/>
        <v>1</v>
      </c>
      <c r="K90" s="368">
        <f t="shared" si="11"/>
        <v>8.6699999999999999E-2</v>
      </c>
      <c r="L90" s="364">
        <f t="shared" si="15"/>
        <v>0</v>
      </c>
      <c r="M90" s="364"/>
      <c r="N90" s="364"/>
      <c r="O90" s="271" t="s">
        <v>158</v>
      </c>
      <c r="P90" s="115" t="s">
        <v>161</v>
      </c>
    </row>
    <row r="91" spans="1:17" ht="16.5" customHeight="1" x14ac:dyDescent="0.25">
      <c r="A91" s="279">
        <v>4783</v>
      </c>
      <c r="B91" s="152">
        <v>1</v>
      </c>
      <c r="C91" s="153" t="s">
        <v>87</v>
      </c>
      <c r="D91" s="37">
        <v>0.72</v>
      </c>
      <c r="E91" s="38">
        <f t="shared" si="14"/>
        <v>0.72</v>
      </c>
      <c r="F91" s="39">
        <f t="shared" si="12"/>
        <v>0</v>
      </c>
      <c r="G91" s="37">
        <f t="shared" si="10"/>
        <v>5.7599999999999998E-2</v>
      </c>
      <c r="H91" s="40">
        <v>44355</v>
      </c>
      <c r="I91" s="40">
        <v>44354</v>
      </c>
      <c r="J91" s="233">
        <f t="shared" si="13"/>
        <v>1</v>
      </c>
      <c r="K91" s="368">
        <f>K90</f>
        <v>8.6699999999999999E-2</v>
      </c>
      <c r="L91" s="364">
        <f t="shared" si="15"/>
        <v>0</v>
      </c>
      <c r="M91" s="364"/>
      <c r="N91" s="364"/>
      <c r="O91" s="271" t="s">
        <v>158</v>
      </c>
      <c r="P91" s="115" t="s">
        <v>161</v>
      </c>
    </row>
    <row r="92" spans="1:17" ht="16.5" customHeight="1" x14ac:dyDescent="0.25">
      <c r="A92" s="279">
        <v>4535</v>
      </c>
      <c r="B92" s="152">
        <v>1</v>
      </c>
      <c r="C92" s="153" t="s">
        <v>88</v>
      </c>
      <c r="D92" s="37">
        <v>102.54</v>
      </c>
      <c r="E92" s="38">
        <f t="shared" si="14"/>
        <v>102.54</v>
      </c>
      <c r="F92" s="39">
        <f t="shared" si="12"/>
        <v>0</v>
      </c>
      <c r="G92" s="37">
        <f t="shared" si="10"/>
        <v>8.2032000000000007</v>
      </c>
      <c r="H92" s="40">
        <v>44355</v>
      </c>
      <c r="I92" s="40">
        <v>44354</v>
      </c>
      <c r="J92" s="233">
        <f t="shared" si="13"/>
        <v>1</v>
      </c>
      <c r="K92" s="368">
        <f t="shared" si="11"/>
        <v>8.6699999999999999E-2</v>
      </c>
      <c r="L92" s="364">
        <f t="shared" si="15"/>
        <v>0</v>
      </c>
      <c r="M92" s="364"/>
      <c r="N92" s="364"/>
      <c r="O92" s="271" t="s">
        <v>158</v>
      </c>
      <c r="P92" s="115" t="s">
        <v>161</v>
      </c>
    </row>
    <row r="93" spans="1:17" ht="16.5" customHeight="1" x14ac:dyDescent="0.25">
      <c r="A93" s="279">
        <v>4594</v>
      </c>
      <c r="B93" s="152">
        <v>1</v>
      </c>
      <c r="C93" s="153" t="s">
        <v>89</v>
      </c>
      <c r="D93" s="37">
        <v>54.92</v>
      </c>
      <c r="E93" s="38">
        <f t="shared" si="14"/>
        <v>54.92</v>
      </c>
      <c r="F93" s="39">
        <f t="shared" si="12"/>
        <v>0</v>
      </c>
      <c r="G93" s="37">
        <f t="shared" si="10"/>
        <v>4.3936000000000002</v>
      </c>
      <c r="H93" s="40">
        <v>44355</v>
      </c>
      <c r="I93" s="40">
        <v>44354</v>
      </c>
      <c r="J93" s="233">
        <f t="shared" si="13"/>
        <v>1</v>
      </c>
      <c r="K93" s="368">
        <f t="shared" si="11"/>
        <v>8.6699999999999999E-2</v>
      </c>
      <c r="L93" s="364">
        <f t="shared" si="15"/>
        <v>0</v>
      </c>
      <c r="M93" s="364"/>
      <c r="N93" s="364"/>
      <c r="O93" s="271" t="s">
        <v>158</v>
      </c>
      <c r="P93" s="115" t="s">
        <v>161</v>
      </c>
    </row>
    <row r="94" spans="1:17" ht="16.5" customHeight="1" x14ac:dyDescent="0.25">
      <c r="A94" s="279">
        <v>5151</v>
      </c>
      <c r="B94" s="152">
        <v>1</v>
      </c>
      <c r="C94" s="153" t="s">
        <v>113</v>
      </c>
      <c r="D94" s="37">
        <v>770.76</v>
      </c>
      <c r="E94" s="38">
        <f t="shared" si="14"/>
        <v>770.76</v>
      </c>
      <c r="F94" s="39">
        <f t="shared" si="12"/>
        <v>0</v>
      </c>
      <c r="G94" s="37">
        <f t="shared" si="10"/>
        <v>61.660800000000002</v>
      </c>
      <c r="H94" s="40">
        <v>44355</v>
      </c>
      <c r="I94" s="40">
        <v>44354</v>
      </c>
      <c r="J94" s="233">
        <f t="shared" si="13"/>
        <v>1</v>
      </c>
      <c r="K94" s="368">
        <f t="shared" si="11"/>
        <v>8.6699999999999999E-2</v>
      </c>
      <c r="L94" s="364">
        <f t="shared" si="15"/>
        <v>0</v>
      </c>
      <c r="M94" s="364"/>
      <c r="N94" s="364"/>
      <c r="O94" s="271" t="s">
        <v>158</v>
      </c>
      <c r="P94" s="115" t="s">
        <v>161</v>
      </c>
    </row>
    <row r="95" spans="1:17" ht="16.5" customHeight="1" x14ac:dyDescent="0.25">
      <c r="A95" s="279">
        <v>710</v>
      </c>
      <c r="B95" s="152">
        <v>1</v>
      </c>
      <c r="C95" s="153" t="s">
        <v>90</v>
      </c>
      <c r="D95" s="37">
        <v>6.65</v>
      </c>
      <c r="E95" s="38">
        <f t="shared" si="14"/>
        <v>6.65</v>
      </c>
      <c r="F95" s="39">
        <f t="shared" si="12"/>
        <v>0</v>
      </c>
      <c r="G95" s="37">
        <f t="shared" si="10"/>
        <v>0.53200000000000003</v>
      </c>
      <c r="H95" s="40">
        <v>44355</v>
      </c>
      <c r="I95" s="40">
        <v>44354</v>
      </c>
      <c r="J95" s="233">
        <f t="shared" si="13"/>
        <v>1</v>
      </c>
      <c r="K95" s="368">
        <f t="shared" si="11"/>
        <v>8.6699999999999999E-2</v>
      </c>
      <c r="L95" s="364">
        <f t="shared" si="15"/>
        <v>0</v>
      </c>
      <c r="M95" s="364"/>
      <c r="N95" s="364"/>
      <c r="O95" s="271" t="s">
        <v>158</v>
      </c>
      <c r="P95" s="115" t="s">
        <v>161</v>
      </c>
    </row>
    <row r="96" spans="1:17" ht="16.5" customHeight="1" x14ac:dyDescent="0.25">
      <c r="A96" s="279">
        <v>4976</v>
      </c>
      <c r="B96" s="152">
        <v>1</v>
      </c>
      <c r="C96" s="153" t="s">
        <v>91</v>
      </c>
      <c r="D96" s="37">
        <v>2.97</v>
      </c>
      <c r="E96" s="38">
        <f t="shared" si="14"/>
        <v>2.97</v>
      </c>
      <c r="F96" s="39">
        <f t="shared" si="12"/>
        <v>0</v>
      </c>
      <c r="G96" s="37">
        <f t="shared" si="10"/>
        <v>0.23760000000000003</v>
      </c>
      <c r="H96" s="40">
        <v>44355</v>
      </c>
      <c r="I96" s="40">
        <v>44354</v>
      </c>
      <c r="J96" s="233">
        <f t="shared" si="13"/>
        <v>1</v>
      </c>
      <c r="K96" s="368">
        <f t="shared" si="11"/>
        <v>8.6699999999999999E-2</v>
      </c>
      <c r="L96" s="364">
        <f t="shared" si="15"/>
        <v>0</v>
      </c>
      <c r="M96" s="364"/>
      <c r="N96" s="364"/>
      <c r="O96" s="271" t="s">
        <v>158</v>
      </c>
      <c r="P96" s="115" t="s">
        <v>161</v>
      </c>
    </row>
    <row r="97" spans="1:20" ht="16.5" customHeight="1" x14ac:dyDescent="0.25">
      <c r="A97" s="279">
        <v>4935</v>
      </c>
      <c r="B97" s="152">
        <v>1</v>
      </c>
      <c r="C97" s="153" t="s">
        <v>93</v>
      </c>
      <c r="D97" s="37">
        <v>51.27</v>
      </c>
      <c r="E97" s="38">
        <f t="shared" si="14"/>
        <v>51.27</v>
      </c>
      <c r="F97" s="39">
        <f t="shared" si="12"/>
        <v>0</v>
      </c>
      <c r="G97" s="37">
        <f t="shared" ref="G97:G105" si="16">D97*8%</f>
        <v>4.1016000000000004</v>
      </c>
      <c r="H97" s="40">
        <v>44355</v>
      </c>
      <c r="I97" s="40">
        <v>44354</v>
      </c>
      <c r="J97" s="233">
        <f t="shared" si="13"/>
        <v>1</v>
      </c>
      <c r="K97" s="368">
        <f>K96</f>
        <v>8.6699999999999999E-2</v>
      </c>
      <c r="L97" s="364">
        <f t="shared" ref="L97:L105" si="17">SUM(F97)*K97</f>
        <v>0</v>
      </c>
      <c r="M97" s="364"/>
      <c r="N97" s="364"/>
      <c r="O97" s="271" t="s">
        <v>158</v>
      </c>
      <c r="P97" s="115" t="s">
        <v>161</v>
      </c>
    </row>
    <row r="98" spans="1:20" ht="16.5" customHeight="1" x14ac:dyDescent="0.25">
      <c r="A98" s="279">
        <v>5096</v>
      </c>
      <c r="B98" s="152">
        <v>1</v>
      </c>
      <c r="C98" s="153" t="s">
        <v>94</v>
      </c>
      <c r="D98" s="37">
        <v>2738.71</v>
      </c>
      <c r="E98" s="38">
        <f t="shared" si="14"/>
        <v>2738.71</v>
      </c>
      <c r="F98" s="39">
        <f t="shared" si="12"/>
        <v>0</v>
      </c>
      <c r="G98" s="37">
        <f t="shared" si="16"/>
        <v>219.0968</v>
      </c>
      <c r="H98" s="40">
        <v>44356</v>
      </c>
      <c r="I98" s="40">
        <v>44354</v>
      </c>
      <c r="J98" s="233">
        <f t="shared" si="13"/>
        <v>2</v>
      </c>
      <c r="K98" s="368">
        <f t="shared" ref="K98:K105" si="18">K97</f>
        <v>8.6699999999999999E-2</v>
      </c>
      <c r="L98" s="364">
        <f t="shared" si="17"/>
        <v>0</v>
      </c>
      <c r="M98" s="364"/>
      <c r="N98" s="364"/>
      <c r="O98" s="271" t="s">
        <v>158</v>
      </c>
      <c r="P98" s="115" t="s">
        <v>161</v>
      </c>
    </row>
    <row r="99" spans="1:20" ht="16.5" customHeight="1" x14ac:dyDescent="0.25">
      <c r="A99" s="279">
        <v>5081</v>
      </c>
      <c r="B99" s="152">
        <v>1</v>
      </c>
      <c r="C99" s="153" t="s">
        <v>95</v>
      </c>
      <c r="D99" s="37">
        <v>1775.94</v>
      </c>
      <c r="E99" s="38">
        <f t="shared" si="14"/>
        <v>1775.94</v>
      </c>
      <c r="F99" s="39">
        <f t="shared" si="12"/>
        <v>0</v>
      </c>
      <c r="G99" s="37">
        <f t="shared" si="16"/>
        <v>142.0752</v>
      </c>
      <c r="H99" s="40">
        <v>44357</v>
      </c>
      <c r="I99" s="40">
        <v>44354</v>
      </c>
      <c r="J99" s="233">
        <f t="shared" si="13"/>
        <v>3</v>
      </c>
      <c r="K99" s="368">
        <f t="shared" si="18"/>
        <v>8.6699999999999999E-2</v>
      </c>
      <c r="L99" s="364">
        <f t="shared" si="17"/>
        <v>0</v>
      </c>
      <c r="M99" s="364"/>
      <c r="N99" s="364"/>
      <c r="O99" s="271" t="s">
        <v>150</v>
      </c>
      <c r="P99" s="115" t="s">
        <v>151</v>
      </c>
    </row>
    <row r="100" spans="1:20" ht="16.5" customHeight="1" x14ac:dyDescent="0.25">
      <c r="A100" s="279">
        <v>2003</v>
      </c>
      <c r="B100" s="152">
        <v>1</v>
      </c>
      <c r="C100" s="154" t="s">
        <v>15</v>
      </c>
      <c r="D100" s="37">
        <v>5.62</v>
      </c>
      <c r="E100" s="38">
        <f>ROUND(D100*B100,2)</f>
        <v>5.62</v>
      </c>
      <c r="F100" s="39">
        <f>D100-E100</f>
        <v>0</v>
      </c>
      <c r="G100" s="37">
        <f t="shared" si="16"/>
        <v>0.4496</v>
      </c>
      <c r="H100" s="40">
        <v>44355</v>
      </c>
      <c r="I100" s="40">
        <v>44354</v>
      </c>
      <c r="J100" s="233">
        <f t="shared" si="13"/>
        <v>1</v>
      </c>
      <c r="K100" s="368">
        <f t="shared" si="18"/>
        <v>8.6699999999999999E-2</v>
      </c>
      <c r="L100" s="364">
        <f t="shared" si="17"/>
        <v>0</v>
      </c>
      <c r="M100" s="364"/>
      <c r="N100" s="364"/>
      <c r="O100" s="271" t="s">
        <v>158</v>
      </c>
      <c r="P100" s="115" t="s">
        <v>161</v>
      </c>
    </row>
    <row r="101" spans="1:20" ht="16.5" customHeight="1" x14ac:dyDescent="0.25">
      <c r="A101" s="279">
        <v>4862</v>
      </c>
      <c r="B101" s="152">
        <v>1</v>
      </c>
      <c r="C101" s="153" t="s">
        <v>96</v>
      </c>
      <c r="D101" s="37">
        <v>0.53</v>
      </c>
      <c r="E101" s="38">
        <f t="shared" si="14"/>
        <v>0.53</v>
      </c>
      <c r="F101" s="39">
        <f t="shared" si="12"/>
        <v>0</v>
      </c>
      <c r="G101" s="37">
        <f t="shared" si="16"/>
        <v>4.24E-2</v>
      </c>
      <c r="H101" s="40">
        <v>44355</v>
      </c>
      <c r="I101" s="40">
        <v>44354</v>
      </c>
      <c r="J101" s="233">
        <f t="shared" si="13"/>
        <v>1</v>
      </c>
      <c r="K101" s="368">
        <f t="shared" si="18"/>
        <v>8.6699999999999999E-2</v>
      </c>
      <c r="L101" s="364">
        <f t="shared" si="17"/>
        <v>0</v>
      </c>
      <c r="M101" s="364"/>
      <c r="N101" s="364"/>
      <c r="O101" s="271" t="s">
        <v>158</v>
      </c>
      <c r="P101" s="115" t="s">
        <v>161</v>
      </c>
    </row>
    <row r="102" spans="1:20" ht="16.5" customHeight="1" x14ac:dyDescent="0.25">
      <c r="A102" s="279">
        <v>5011</v>
      </c>
      <c r="B102" s="152">
        <v>1</v>
      </c>
      <c r="C102" s="153" t="s">
        <v>98</v>
      </c>
      <c r="D102" s="37">
        <v>2275.14</v>
      </c>
      <c r="E102" s="38">
        <f t="shared" si="14"/>
        <v>2275.14</v>
      </c>
      <c r="F102" s="39">
        <f t="shared" si="12"/>
        <v>0</v>
      </c>
      <c r="G102" s="37">
        <f t="shared" si="16"/>
        <v>182.0112</v>
      </c>
      <c r="H102" s="40">
        <v>44382</v>
      </c>
      <c r="I102" s="40">
        <v>44354</v>
      </c>
      <c r="J102" s="233">
        <f t="shared" si="13"/>
        <v>28</v>
      </c>
      <c r="K102" s="368">
        <f>K101</f>
        <v>8.6699999999999999E-2</v>
      </c>
      <c r="L102" s="364">
        <f t="shared" si="17"/>
        <v>0</v>
      </c>
      <c r="M102" s="364"/>
      <c r="N102" s="364"/>
      <c r="O102" s="271" t="s">
        <v>150</v>
      </c>
      <c r="P102" s="115" t="s">
        <v>176</v>
      </c>
    </row>
    <row r="103" spans="1:20" ht="16.5" customHeight="1" x14ac:dyDescent="0.25">
      <c r="A103" s="279">
        <v>5098</v>
      </c>
      <c r="B103" s="152">
        <v>1</v>
      </c>
      <c r="C103" s="153" t="s">
        <v>99</v>
      </c>
      <c r="D103" s="37">
        <v>1775.94</v>
      </c>
      <c r="E103" s="38">
        <f t="shared" si="14"/>
        <v>1775.94</v>
      </c>
      <c r="F103" s="39">
        <f t="shared" si="12"/>
        <v>0</v>
      </c>
      <c r="G103" s="37">
        <f t="shared" si="16"/>
        <v>142.0752</v>
      </c>
      <c r="H103" s="40">
        <v>44356</v>
      </c>
      <c r="I103" s="40">
        <v>44354</v>
      </c>
      <c r="J103" s="233">
        <f t="shared" si="13"/>
        <v>2</v>
      </c>
      <c r="K103" s="368">
        <f t="shared" si="18"/>
        <v>8.6699999999999999E-2</v>
      </c>
      <c r="L103" s="364">
        <f t="shared" si="17"/>
        <v>0</v>
      </c>
      <c r="M103" s="364"/>
      <c r="N103" s="364"/>
      <c r="O103" s="271" t="s">
        <v>158</v>
      </c>
      <c r="P103" s="115" t="s">
        <v>161</v>
      </c>
    </row>
    <row r="104" spans="1:20" ht="16.5" customHeight="1" x14ac:dyDescent="0.25">
      <c r="A104" s="279">
        <v>5060</v>
      </c>
      <c r="B104" s="152">
        <v>1</v>
      </c>
      <c r="C104" s="153" t="s">
        <v>100</v>
      </c>
      <c r="D104" s="37">
        <v>1494.29</v>
      </c>
      <c r="E104" s="38">
        <f t="shared" si="14"/>
        <v>1494.29</v>
      </c>
      <c r="F104" s="39">
        <f t="shared" si="12"/>
        <v>0</v>
      </c>
      <c r="G104" s="37">
        <f t="shared" si="16"/>
        <v>119.5432</v>
      </c>
      <c r="H104" s="40">
        <v>44356</v>
      </c>
      <c r="I104" s="40">
        <v>44354</v>
      </c>
      <c r="J104" s="233">
        <f t="shared" si="13"/>
        <v>2</v>
      </c>
      <c r="K104" s="368">
        <f t="shared" si="18"/>
        <v>8.6699999999999999E-2</v>
      </c>
      <c r="L104" s="364">
        <f t="shared" si="17"/>
        <v>0</v>
      </c>
      <c r="M104" s="364"/>
      <c r="N104" s="364"/>
      <c r="O104" s="271" t="s">
        <v>158</v>
      </c>
      <c r="P104" s="115" t="s">
        <v>161</v>
      </c>
    </row>
    <row r="105" spans="1:20" ht="16.5" customHeight="1" x14ac:dyDescent="0.25">
      <c r="A105" s="279">
        <v>4999</v>
      </c>
      <c r="B105" s="152">
        <v>1</v>
      </c>
      <c r="C105" s="153" t="s">
        <v>101</v>
      </c>
      <c r="D105" s="37">
        <v>3.07</v>
      </c>
      <c r="E105" s="38">
        <f t="shared" si="14"/>
        <v>3.07</v>
      </c>
      <c r="F105" s="39">
        <f t="shared" si="12"/>
        <v>0</v>
      </c>
      <c r="G105" s="37">
        <f t="shared" si="16"/>
        <v>0.24559999999999998</v>
      </c>
      <c r="H105" s="40">
        <v>44355</v>
      </c>
      <c r="I105" s="40">
        <v>44354</v>
      </c>
      <c r="J105" s="233">
        <f t="shared" si="13"/>
        <v>1</v>
      </c>
      <c r="K105" s="368">
        <f t="shared" si="18"/>
        <v>8.6699999999999999E-2</v>
      </c>
      <c r="L105" s="364">
        <f t="shared" si="17"/>
        <v>0</v>
      </c>
      <c r="M105" s="364"/>
      <c r="N105" s="364"/>
      <c r="O105" s="271" t="s">
        <v>158</v>
      </c>
      <c r="P105" s="115" t="s">
        <v>161</v>
      </c>
    </row>
    <row r="106" spans="1:20" ht="16.5" customHeight="1" x14ac:dyDescent="0.25">
      <c r="A106" s="279"/>
      <c r="B106" s="197"/>
      <c r="C106" s="46" t="s">
        <v>162</v>
      </c>
      <c r="D106" s="46">
        <f>SUM(D37:D105)</f>
        <v>47335.45</v>
      </c>
      <c r="E106" s="46">
        <f>SUM(E37:E105)</f>
        <v>47335.45</v>
      </c>
      <c r="F106" s="46">
        <f>SUM(F37:F105)</f>
        <v>0</v>
      </c>
      <c r="G106" s="46">
        <f>SUM(G37:G105)</f>
        <v>3786.8359999999993</v>
      </c>
      <c r="H106" s="200"/>
      <c r="I106" s="200"/>
      <c r="J106" s="200"/>
      <c r="K106" s="366"/>
      <c r="L106" s="366">
        <f>SUM(L37:L105)</f>
        <v>0</v>
      </c>
      <c r="M106" s="366"/>
      <c r="N106" s="366"/>
      <c r="O106" s="271"/>
      <c r="P106" s="115"/>
      <c r="T106" s="144"/>
    </row>
    <row r="107" spans="1:20" s="143" customFormat="1" ht="17.25" customHeight="1" x14ac:dyDescent="0.25">
      <c r="A107" s="282"/>
      <c r="B107" s="203"/>
      <c r="C107" s="215" t="s">
        <v>103</v>
      </c>
      <c r="D107" s="54">
        <f>SUM(D106+D36+D17)</f>
        <v>129148.39</v>
      </c>
      <c r="E107" s="54">
        <f>SUM(E106+E36+E17)</f>
        <v>103819.91</v>
      </c>
      <c r="F107" s="54">
        <f>SUM(F106+F36+F17)</f>
        <v>25328.480000000003</v>
      </c>
      <c r="G107" s="54">
        <f>G106+G36+G17</f>
        <v>10331.8712</v>
      </c>
      <c r="H107" s="216"/>
      <c r="I107" s="216"/>
      <c r="J107" s="216"/>
      <c r="K107" s="367"/>
      <c r="L107" s="367">
        <f>L106+L36+L17</f>
        <v>2195.9792159999997</v>
      </c>
      <c r="M107" s="367"/>
      <c r="N107" s="367"/>
      <c r="O107" s="272"/>
      <c r="P107" s="119"/>
      <c r="T107" s="204"/>
    </row>
    <row r="109" spans="1:20" x14ac:dyDescent="0.25">
      <c r="C109" s="97"/>
      <c r="D109" s="91"/>
      <c r="E109" s="97"/>
      <c r="F109" s="97"/>
      <c r="G109" s="97"/>
      <c r="H109" s="144"/>
      <c r="I109" s="144"/>
      <c r="J109" s="144"/>
      <c r="K109" s="144"/>
      <c r="L109" s="144"/>
      <c r="M109" s="144"/>
      <c r="N109" s="144"/>
    </row>
    <row r="110" spans="1:20" x14ac:dyDescent="0.25">
      <c r="C110" s="97"/>
      <c r="D110" s="97"/>
      <c r="E110" s="97"/>
      <c r="F110" s="97"/>
      <c r="G110" s="97"/>
      <c r="H110" s="142"/>
      <c r="I110" s="142"/>
      <c r="J110" s="142"/>
      <c r="K110" s="142"/>
      <c r="L110" s="142"/>
      <c r="M110" s="142"/>
      <c r="N110" s="142"/>
    </row>
    <row r="111" spans="1:20" x14ac:dyDescent="0.25">
      <c r="C111" s="97"/>
      <c r="D111" s="97"/>
      <c r="E111" s="97"/>
      <c r="F111" s="97"/>
      <c r="G111" s="97"/>
      <c r="H111" s="99"/>
      <c r="I111" s="99"/>
      <c r="J111" s="99"/>
      <c r="K111" s="99"/>
      <c r="L111" s="99"/>
      <c r="M111" s="99"/>
      <c r="N111" s="99"/>
    </row>
    <row r="112" spans="1:20" x14ac:dyDescent="0.25">
      <c r="C112" s="97"/>
      <c r="D112" s="97"/>
      <c r="E112" s="97"/>
      <c r="F112" s="97"/>
      <c r="G112" s="97"/>
    </row>
    <row r="113" spans="3:7" x14ac:dyDescent="0.25">
      <c r="C113" s="97"/>
      <c r="D113" s="97"/>
      <c r="E113" s="97"/>
      <c r="F113" s="97"/>
      <c r="G113" s="97"/>
    </row>
    <row r="114" spans="3:7" x14ac:dyDescent="0.25">
      <c r="C114" s="97"/>
      <c r="D114" s="97"/>
      <c r="E114" s="97"/>
      <c r="F114" s="97"/>
      <c r="G114" s="97"/>
    </row>
    <row r="115" spans="3:7" x14ac:dyDescent="0.25">
      <c r="C115" s="97"/>
      <c r="D115" s="97"/>
      <c r="E115" s="97"/>
      <c r="F115" s="97"/>
      <c r="G115" s="97"/>
    </row>
    <row r="116" spans="3:7" x14ac:dyDescent="0.25">
      <c r="C116" s="97"/>
      <c r="D116" s="97"/>
      <c r="E116" s="97"/>
      <c r="F116" s="97"/>
      <c r="G116" s="97"/>
    </row>
    <row r="117" spans="3:7" x14ac:dyDescent="0.25">
      <c r="C117" s="97"/>
      <c r="D117" s="97"/>
      <c r="E117" s="97"/>
      <c r="F117" s="97"/>
      <c r="G117" s="97"/>
    </row>
  </sheetData>
  <autoFilter ref="A4:P106" xr:uid="{00000000-0009-0000-0000-000000000000}"/>
  <pageMargins left="0.51181102362204722" right="0.51181102362204722" top="0.47244094488188981" bottom="0.47244094488188981" header="0.31496062992125984" footer="0.31496062992125984"/>
  <pageSetup paperSize="9" scale="56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55D42-CF73-44C9-9FD2-D5921E9E4CC7}">
  <sheetPr>
    <tabColor rgb="FF00B050"/>
    <pageSetUpPr fitToPage="1"/>
  </sheetPr>
  <dimension ref="A1:L117"/>
  <sheetViews>
    <sheetView showGridLines="0" topLeftCell="B88" workbookViewId="0">
      <selection activeCell="N106" sqref="N106"/>
    </sheetView>
  </sheetViews>
  <sheetFormatPr defaultRowHeight="15" x14ac:dyDescent="0.25"/>
  <cols>
    <col min="1" max="1" width="10.42578125" style="138" hidden="1" customWidth="1"/>
    <col min="2" max="2" width="9.85546875" style="138" customWidth="1"/>
    <col min="3" max="3" width="44.7109375" style="138" bestFit="1" customWidth="1"/>
    <col min="4" max="4" width="12.7109375" style="90" customWidth="1"/>
    <col min="5" max="6" width="13.85546875" style="100" customWidth="1"/>
    <col min="7" max="7" width="12.42578125" style="100" customWidth="1"/>
    <col min="8" max="8" width="10.5703125" style="138" hidden="1" customWidth="1"/>
    <col min="9" max="9" width="11.28515625" style="138" hidden="1" customWidth="1"/>
    <col min="10" max="10" width="13" style="138" hidden="1" customWidth="1"/>
    <col min="11" max="11" width="11.7109375" style="138" hidden="1" customWidth="1"/>
    <col min="12" max="12" width="17.7109375" style="138" hidden="1" customWidth="1"/>
    <col min="13" max="41" width="9.140625" style="138" customWidth="1"/>
    <col min="42" max="16384" width="9.140625" style="138"/>
  </cols>
  <sheetData>
    <row r="1" spans="1:12" ht="15.75" x14ac:dyDescent="0.25">
      <c r="A1" s="145"/>
      <c r="B1" s="194"/>
      <c r="C1" s="275" t="s">
        <v>141</v>
      </c>
      <c r="D1" s="265"/>
      <c r="E1" s="103"/>
      <c r="F1" s="104"/>
      <c r="G1" s="104"/>
      <c r="H1" s="105"/>
      <c r="I1" s="105"/>
      <c r="J1" s="105"/>
      <c r="K1" s="105"/>
      <c r="L1" s="105"/>
    </row>
    <row r="2" spans="1:12" ht="15.75" x14ac:dyDescent="0.25">
      <c r="A2" s="147"/>
      <c r="B2" s="195"/>
      <c r="C2" s="276" t="s">
        <v>190</v>
      </c>
      <c r="D2" s="267"/>
      <c r="E2" s="11"/>
      <c r="F2" s="11"/>
      <c r="G2" s="11"/>
      <c r="H2" s="90"/>
      <c r="I2" s="90"/>
      <c r="J2" s="90"/>
      <c r="K2" s="90"/>
      <c r="L2" s="90"/>
    </row>
    <row r="3" spans="1:12" ht="15.75" x14ac:dyDescent="0.25">
      <c r="A3" s="148"/>
      <c r="B3" s="196"/>
      <c r="C3" s="277" t="s">
        <v>204</v>
      </c>
      <c r="D3" s="269"/>
      <c r="E3" s="112"/>
      <c r="F3" s="112"/>
      <c r="G3" s="112"/>
      <c r="H3" s="113"/>
      <c r="I3" s="113"/>
      <c r="J3" s="113"/>
      <c r="K3" s="113"/>
      <c r="L3" s="113"/>
    </row>
    <row r="4" spans="1:12" s="139" customFormat="1" ht="40.5" customHeight="1" x14ac:dyDescent="0.25">
      <c r="A4" s="211" t="s">
        <v>142</v>
      </c>
      <c r="B4" s="302" t="s">
        <v>143</v>
      </c>
      <c r="C4" s="212" t="s">
        <v>144</v>
      </c>
      <c r="D4" s="20" t="s">
        <v>140</v>
      </c>
      <c r="E4" s="19" t="s">
        <v>145</v>
      </c>
      <c r="F4" s="20" t="s">
        <v>146</v>
      </c>
      <c r="G4" s="20" t="s">
        <v>212</v>
      </c>
      <c r="H4" s="20" t="s">
        <v>147</v>
      </c>
      <c r="I4" s="39" t="s">
        <v>213</v>
      </c>
      <c r="J4" s="39" t="s">
        <v>214</v>
      </c>
      <c r="K4" s="361" t="s">
        <v>252</v>
      </c>
      <c r="L4" s="361" t="s">
        <v>256</v>
      </c>
    </row>
    <row r="5" spans="1:12" ht="16.5" customHeight="1" x14ac:dyDescent="0.25">
      <c r="A5" s="279">
        <v>4855</v>
      </c>
      <c r="B5" s="152">
        <v>0.65</v>
      </c>
      <c r="C5" s="154" t="s">
        <v>1</v>
      </c>
      <c r="D5" s="37">
        <v>3858.8</v>
      </c>
      <c r="E5" s="155">
        <v>0</v>
      </c>
      <c r="F5" s="37">
        <f>D5</f>
        <v>3858.8</v>
      </c>
      <c r="G5" s="37">
        <f t="shared" ref="G5:G16" si="0">D5*8%</f>
        <v>308.70400000000001</v>
      </c>
      <c r="H5" s="40"/>
      <c r="I5" s="40" t="e">
        <f>#REF!</f>
        <v>#REF!</v>
      </c>
      <c r="J5" s="233">
        <v>0</v>
      </c>
      <c r="K5" s="368">
        <v>8.3599999999999994E-2</v>
      </c>
      <c r="L5" s="364">
        <f t="shared" ref="L5:L16" si="1">SUM(F5)*K5</f>
        <v>322.59568000000002</v>
      </c>
    </row>
    <row r="6" spans="1:12" ht="16.5" customHeight="1" x14ac:dyDescent="0.25">
      <c r="A6" s="279">
        <v>4724</v>
      </c>
      <c r="B6" s="152">
        <v>0.65</v>
      </c>
      <c r="C6" s="153" t="s">
        <v>3</v>
      </c>
      <c r="D6" s="37">
        <v>3625.95</v>
      </c>
      <c r="E6" s="155">
        <f t="shared" ref="E6:E66" si="2">ROUND(D6*B6,2)</f>
        <v>2356.87</v>
      </c>
      <c r="F6" s="37">
        <f t="shared" ref="F6:F61" si="3">D6-E6</f>
        <v>1269.08</v>
      </c>
      <c r="G6" s="37">
        <f t="shared" si="0"/>
        <v>290.07599999999996</v>
      </c>
      <c r="H6" s="116">
        <v>44384</v>
      </c>
      <c r="I6" s="116" t="e">
        <f>I5</f>
        <v>#REF!</v>
      </c>
      <c r="J6" s="233" t="e">
        <f t="shared" ref="J6:J65" si="4">H6-I6</f>
        <v>#REF!</v>
      </c>
      <c r="K6" s="368">
        <v>8.3599999999999994E-2</v>
      </c>
      <c r="L6" s="364">
        <f t="shared" si="1"/>
        <v>106.09508799999999</v>
      </c>
    </row>
    <row r="7" spans="1:12" ht="16.5" customHeight="1" x14ac:dyDescent="0.25">
      <c r="A7" s="279">
        <v>4566</v>
      </c>
      <c r="B7" s="152">
        <v>0.65</v>
      </c>
      <c r="C7" s="154" t="s">
        <v>4</v>
      </c>
      <c r="D7" s="37">
        <v>4186.9799999999996</v>
      </c>
      <c r="E7" s="155">
        <f t="shared" si="2"/>
        <v>2721.54</v>
      </c>
      <c r="F7" s="37">
        <f t="shared" si="3"/>
        <v>1465.4399999999996</v>
      </c>
      <c r="G7" s="37">
        <f t="shared" si="0"/>
        <v>334.95839999999998</v>
      </c>
      <c r="H7" s="40">
        <v>44391</v>
      </c>
      <c r="I7" s="116" t="e">
        <f t="shared" ref="I7:I67" si="5">I6</f>
        <v>#REF!</v>
      </c>
      <c r="J7" s="233" t="e">
        <f t="shared" si="4"/>
        <v>#REF!</v>
      </c>
      <c r="K7" s="368">
        <v>8.3599999999999994E-2</v>
      </c>
      <c r="L7" s="364">
        <f t="shared" si="1"/>
        <v>122.51078399999996</v>
      </c>
    </row>
    <row r="8" spans="1:12" ht="16.5" customHeight="1" x14ac:dyDescent="0.25">
      <c r="A8" s="279">
        <v>5013</v>
      </c>
      <c r="B8" s="152">
        <v>0.65</v>
      </c>
      <c r="C8" s="153" t="s">
        <v>5</v>
      </c>
      <c r="D8" s="37">
        <v>5286.9</v>
      </c>
      <c r="E8" s="202">
        <v>2000</v>
      </c>
      <c r="F8" s="37">
        <f>D8-E9-E8</f>
        <v>1850.4099999999999</v>
      </c>
      <c r="G8" s="37">
        <f t="shared" si="0"/>
        <v>422.952</v>
      </c>
      <c r="H8" s="116">
        <v>44384</v>
      </c>
      <c r="I8" s="116" t="e">
        <f t="shared" si="5"/>
        <v>#REF!</v>
      </c>
      <c r="J8" s="233" t="e">
        <f t="shared" si="4"/>
        <v>#REF!</v>
      </c>
      <c r="K8" s="368">
        <v>8.3599999999999994E-2</v>
      </c>
      <c r="L8" s="364">
        <f t="shared" si="1"/>
        <v>154.69427599999997</v>
      </c>
    </row>
    <row r="9" spans="1:12" ht="16.5" customHeight="1" x14ac:dyDescent="0.25">
      <c r="A9" s="279">
        <v>5013</v>
      </c>
      <c r="B9" s="152">
        <v>0.65</v>
      </c>
      <c r="C9" s="153" t="s">
        <v>5</v>
      </c>
      <c r="D9" s="37">
        <v>0</v>
      </c>
      <c r="E9" s="155">
        <f>ROUND(D8*B8,2)-2000</f>
        <v>1436.4899999999998</v>
      </c>
      <c r="F9" s="37">
        <v>0</v>
      </c>
      <c r="G9" s="37">
        <f t="shared" si="0"/>
        <v>0</v>
      </c>
      <c r="H9" s="116">
        <v>44389</v>
      </c>
      <c r="I9" s="116" t="e">
        <f t="shared" si="5"/>
        <v>#REF!</v>
      </c>
      <c r="J9" s="233" t="e">
        <f t="shared" si="4"/>
        <v>#REF!</v>
      </c>
      <c r="K9" s="368">
        <v>8.3599999999999994E-2</v>
      </c>
      <c r="L9" s="364">
        <f t="shared" si="1"/>
        <v>0</v>
      </c>
    </row>
    <row r="10" spans="1:12" ht="16.5" customHeight="1" x14ac:dyDescent="0.25">
      <c r="A10" s="279">
        <v>4677</v>
      </c>
      <c r="B10" s="152">
        <v>0.65</v>
      </c>
      <c r="C10" s="154" t="s">
        <v>6</v>
      </c>
      <c r="D10" s="37">
        <v>3357.95</v>
      </c>
      <c r="E10" s="155">
        <f t="shared" si="2"/>
        <v>2182.67</v>
      </c>
      <c r="F10" s="37">
        <f t="shared" si="3"/>
        <v>1175.2799999999997</v>
      </c>
      <c r="G10" s="37">
        <f t="shared" si="0"/>
        <v>268.63599999999997</v>
      </c>
      <c r="H10" s="40">
        <v>44386</v>
      </c>
      <c r="I10" s="116" t="e">
        <f t="shared" si="5"/>
        <v>#REF!</v>
      </c>
      <c r="J10" s="233" t="e">
        <f t="shared" si="4"/>
        <v>#REF!</v>
      </c>
      <c r="K10" s="368">
        <v>8.3599999999999994E-2</v>
      </c>
      <c r="L10" s="364">
        <f t="shared" si="1"/>
        <v>98.253407999999965</v>
      </c>
    </row>
    <row r="11" spans="1:12" ht="16.5" customHeight="1" x14ac:dyDescent="0.25">
      <c r="A11" s="279">
        <v>4618</v>
      </c>
      <c r="B11" s="152">
        <v>0.65</v>
      </c>
      <c r="C11" s="154" t="s">
        <v>8</v>
      </c>
      <c r="D11" s="37">
        <v>3210.09</v>
      </c>
      <c r="E11" s="155">
        <v>0</v>
      </c>
      <c r="F11" s="37">
        <f>D11</f>
        <v>3210.09</v>
      </c>
      <c r="G11" s="37">
        <f t="shared" si="0"/>
        <v>256.80720000000002</v>
      </c>
      <c r="H11" s="40"/>
      <c r="I11" s="116" t="e">
        <f t="shared" si="5"/>
        <v>#REF!</v>
      </c>
      <c r="J11" s="233">
        <v>0</v>
      </c>
      <c r="K11" s="368">
        <v>8.3599999999999994E-2</v>
      </c>
      <c r="L11" s="364">
        <f t="shared" si="1"/>
        <v>268.36352399999998</v>
      </c>
    </row>
    <row r="12" spans="1:12" ht="16.5" customHeight="1" x14ac:dyDescent="0.25">
      <c r="A12" s="279">
        <v>2380</v>
      </c>
      <c r="B12" s="152">
        <v>0.65</v>
      </c>
      <c r="C12" s="154" t="s">
        <v>9</v>
      </c>
      <c r="D12" s="37">
        <v>3842.33</v>
      </c>
      <c r="E12" s="155">
        <v>0</v>
      </c>
      <c r="F12" s="37">
        <f>D12</f>
        <v>3842.33</v>
      </c>
      <c r="G12" s="37">
        <f t="shared" si="0"/>
        <v>307.38639999999998</v>
      </c>
      <c r="H12" s="40"/>
      <c r="I12" s="116" t="e">
        <f t="shared" si="5"/>
        <v>#REF!</v>
      </c>
      <c r="J12" s="233">
        <v>0</v>
      </c>
      <c r="K12" s="368">
        <v>8.3599999999999994E-2</v>
      </c>
      <c r="L12" s="364">
        <f t="shared" si="1"/>
        <v>321.21878799999996</v>
      </c>
    </row>
    <row r="13" spans="1:12" ht="16.5" customHeight="1" x14ac:dyDescent="0.25">
      <c r="A13" s="279">
        <v>2429</v>
      </c>
      <c r="B13" s="152">
        <v>0.65</v>
      </c>
      <c r="C13" s="154" t="s">
        <v>11</v>
      </c>
      <c r="D13" s="37">
        <v>2214.96</v>
      </c>
      <c r="E13" s="155">
        <v>0</v>
      </c>
      <c r="F13" s="37">
        <f>D13</f>
        <v>2214.96</v>
      </c>
      <c r="G13" s="37">
        <f t="shared" si="0"/>
        <v>177.1968</v>
      </c>
      <c r="H13" s="40"/>
      <c r="I13" s="116" t="e">
        <f t="shared" si="5"/>
        <v>#REF!</v>
      </c>
      <c r="J13" s="233">
        <v>0</v>
      </c>
      <c r="K13" s="368">
        <v>8.3599999999999994E-2</v>
      </c>
      <c r="L13" s="364">
        <f t="shared" si="1"/>
        <v>185.17065599999998</v>
      </c>
    </row>
    <row r="14" spans="1:12" ht="16.5" customHeight="1" x14ac:dyDescent="0.25">
      <c r="A14" s="279">
        <v>1520</v>
      </c>
      <c r="B14" s="152">
        <v>0.65</v>
      </c>
      <c r="C14" s="154" t="s">
        <v>12</v>
      </c>
      <c r="D14" s="37">
        <v>1309.07</v>
      </c>
      <c r="E14" s="155">
        <v>0</v>
      </c>
      <c r="F14" s="37">
        <f>D14</f>
        <v>1309.07</v>
      </c>
      <c r="G14" s="37">
        <f t="shared" si="0"/>
        <v>104.7256</v>
      </c>
      <c r="H14" s="40"/>
      <c r="I14" s="116" t="e">
        <f t="shared" si="5"/>
        <v>#REF!</v>
      </c>
      <c r="J14" s="233">
        <v>0</v>
      </c>
      <c r="K14" s="368">
        <v>8.3599999999999994E-2</v>
      </c>
      <c r="L14" s="364">
        <f t="shared" si="1"/>
        <v>109.43825199999999</v>
      </c>
    </row>
    <row r="15" spans="1:12" ht="16.5" customHeight="1" x14ac:dyDescent="0.25">
      <c r="A15" s="279">
        <v>4863</v>
      </c>
      <c r="B15" s="152">
        <v>0.65</v>
      </c>
      <c r="C15" s="154" t="s">
        <v>13</v>
      </c>
      <c r="D15" s="37">
        <v>2918.45</v>
      </c>
      <c r="E15" s="155">
        <f t="shared" si="2"/>
        <v>1896.99</v>
      </c>
      <c r="F15" s="37">
        <f t="shared" si="3"/>
        <v>1021.4599999999998</v>
      </c>
      <c r="G15" s="37">
        <f t="shared" si="0"/>
        <v>233.476</v>
      </c>
      <c r="H15" s="40">
        <v>44419</v>
      </c>
      <c r="I15" s="116" t="e">
        <f t="shared" si="5"/>
        <v>#REF!</v>
      </c>
      <c r="J15" s="233" t="e">
        <f t="shared" si="4"/>
        <v>#REF!</v>
      </c>
      <c r="K15" s="368">
        <v>8.3599999999999994E-2</v>
      </c>
      <c r="L15" s="364">
        <f t="shared" si="1"/>
        <v>85.394055999999978</v>
      </c>
    </row>
    <row r="16" spans="1:12" ht="16.5" customHeight="1" x14ac:dyDescent="0.25">
      <c r="A16" s="279">
        <v>4816</v>
      </c>
      <c r="B16" s="152">
        <v>0.65</v>
      </c>
      <c r="C16" s="154" t="s">
        <v>104</v>
      </c>
      <c r="D16" s="37">
        <v>2452.69</v>
      </c>
      <c r="E16" s="155">
        <f t="shared" si="2"/>
        <v>1594.25</v>
      </c>
      <c r="F16" s="37">
        <f t="shared" si="3"/>
        <v>858.44</v>
      </c>
      <c r="G16" s="37">
        <f t="shared" si="0"/>
        <v>196.21520000000001</v>
      </c>
      <c r="H16" s="40">
        <v>44386</v>
      </c>
      <c r="I16" s="116" t="e">
        <f t="shared" si="5"/>
        <v>#REF!</v>
      </c>
      <c r="J16" s="233" t="e">
        <f t="shared" si="4"/>
        <v>#REF!</v>
      </c>
      <c r="K16" s="368">
        <v>8.3599999999999994E-2</v>
      </c>
      <c r="L16" s="364">
        <f t="shared" si="1"/>
        <v>71.765584000000004</v>
      </c>
    </row>
    <row r="17" spans="1:12" ht="16.5" customHeight="1" x14ac:dyDescent="0.25">
      <c r="A17" s="301"/>
      <c r="B17" s="199"/>
      <c r="C17" s="46" t="s">
        <v>156</v>
      </c>
      <c r="D17" s="46">
        <f>SUM(D5:D16)</f>
        <v>36264.17</v>
      </c>
      <c r="E17" s="46">
        <f>SUM(E5:E16)</f>
        <v>14188.81</v>
      </c>
      <c r="F17" s="46">
        <f>SUM(F5:F16)</f>
        <v>22075.359999999997</v>
      </c>
      <c r="G17" s="46">
        <f>SUM(G5:G16)</f>
        <v>2901.1336000000006</v>
      </c>
      <c r="H17" s="46"/>
      <c r="I17" s="198"/>
      <c r="J17" s="234">
        <f t="shared" si="4"/>
        <v>0</v>
      </c>
      <c r="K17" s="386"/>
      <c r="L17" s="366">
        <f>SUM(L5:L16)</f>
        <v>1845.5000959999995</v>
      </c>
    </row>
    <row r="18" spans="1:12" ht="16.5" customHeight="1" x14ac:dyDescent="0.25">
      <c r="A18" s="279">
        <v>5014</v>
      </c>
      <c r="B18" s="152">
        <v>0.8</v>
      </c>
      <c r="C18" s="153" t="s">
        <v>19</v>
      </c>
      <c r="D18" s="37">
        <v>3138.56</v>
      </c>
      <c r="E18" s="155">
        <f>ROUND(D18*B18,2)</f>
        <v>2510.85</v>
      </c>
      <c r="F18" s="37">
        <f>D18-E18</f>
        <v>627.71</v>
      </c>
      <c r="G18" s="37">
        <f t="shared" ref="G18:G34" si="6">D18*8%</f>
        <v>251.0848</v>
      </c>
      <c r="H18" s="40">
        <v>44386</v>
      </c>
      <c r="I18" s="116" t="e">
        <f>#REF!</f>
        <v>#REF!</v>
      </c>
      <c r="J18" s="233" t="e">
        <f t="shared" si="4"/>
        <v>#REF!</v>
      </c>
      <c r="K18" s="368">
        <v>8.3599999999999994E-2</v>
      </c>
      <c r="L18" s="385">
        <f t="shared" ref="L18:L34" si="7">SUM(F18)*K18</f>
        <v>52.476556000000002</v>
      </c>
    </row>
    <row r="19" spans="1:12" ht="16.5" customHeight="1" x14ac:dyDescent="0.25">
      <c r="A19" s="279">
        <v>4637</v>
      </c>
      <c r="B19" s="152">
        <v>0.8</v>
      </c>
      <c r="C19" s="153" t="s">
        <v>20</v>
      </c>
      <c r="D19" s="37">
        <v>1583.82</v>
      </c>
      <c r="E19" s="155">
        <v>0</v>
      </c>
      <c r="F19" s="37">
        <f>D19</f>
        <v>1583.82</v>
      </c>
      <c r="G19" s="37">
        <f t="shared" si="6"/>
        <v>126.7056</v>
      </c>
      <c r="H19" s="116"/>
      <c r="I19" s="116" t="e">
        <f t="shared" si="5"/>
        <v>#REF!</v>
      </c>
      <c r="J19" s="233">
        <v>0</v>
      </c>
      <c r="K19" s="368">
        <v>8.3599999999999994E-2</v>
      </c>
      <c r="L19" s="385">
        <f t="shared" si="7"/>
        <v>132.40735199999997</v>
      </c>
    </row>
    <row r="20" spans="1:12" ht="16.5" customHeight="1" x14ac:dyDescent="0.25">
      <c r="A20" s="279">
        <v>4749</v>
      </c>
      <c r="B20" s="152">
        <v>0.8</v>
      </c>
      <c r="C20" s="153" t="s">
        <v>21</v>
      </c>
      <c r="D20" s="37">
        <v>1047.02</v>
      </c>
      <c r="E20" s="155">
        <f t="shared" ref="E20:E33" si="8">ROUND(D20*B20,2)</f>
        <v>837.62</v>
      </c>
      <c r="F20" s="37">
        <f t="shared" si="3"/>
        <v>209.39999999999998</v>
      </c>
      <c r="G20" s="37">
        <f t="shared" si="6"/>
        <v>83.761600000000001</v>
      </c>
      <c r="H20" s="116">
        <v>44383</v>
      </c>
      <c r="I20" s="116" t="e">
        <f t="shared" si="5"/>
        <v>#REF!</v>
      </c>
      <c r="J20" s="233" t="e">
        <f t="shared" si="4"/>
        <v>#REF!</v>
      </c>
      <c r="K20" s="368">
        <v>8.3599999999999994E-2</v>
      </c>
      <c r="L20" s="385">
        <f t="shared" si="7"/>
        <v>17.505839999999996</v>
      </c>
    </row>
    <row r="21" spans="1:12" ht="16.5" customHeight="1" x14ac:dyDescent="0.25">
      <c r="A21" s="279">
        <v>4997</v>
      </c>
      <c r="B21" s="152">
        <v>0.8</v>
      </c>
      <c r="C21" s="153" t="s">
        <v>22</v>
      </c>
      <c r="D21" s="37">
        <v>1263</v>
      </c>
      <c r="E21" s="155">
        <f t="shared" si="8"/>
        <v>1010.4</v>
      </c>
      <c r="F21" s="37">
        <f t="shared" si="3"/>
        <v>252.60000000000002</v>
      </c>
      <c r="G21" s="37">
        <f t="shared" si="6"/>
        <v>101.04</v>
      </c>
      <c r="H21" s="116">
        <v>44383</v>
      </c>
      <c r="I21" s="116" t="e">
        <f t="shared" si="5"/>
        <v>#REF!</v>
      </c>
      <c r="J21" s="233" t="e">
        <f t="shared" si="4"/>
        <v>#REF!</v>
      </c>
      <c r="K21" s="368">
        <v>8.3599999999999994E-2</v>
      </c>
      <c r="L21" s="385">
        <f t="shared" si="7"/>
        <v>21.117360000000001</v>
      </c>
    </row>
    <row r="22" spans="1:12" ht="16.5" customHeight="1" x14ac:dyDescent="0.25">
      <c r="A22" s="279">
        <v>4909</v>
      </c>
      <c r="B22" s="152">
        <v>0.8</v>
      </c>
      <c r="C22" s="153" t="s">
        <v>23</v>
      </c>
      <c r="D22" s="37">
        <v>3994.26</v>
      </c>
      <c r="E22" s="155">
        <f t="shared" si="8"/>
        <v>3195.41</v>
      </c>
      <c r="F22" s="37">
        <f t="shared" si="3"/>
        <v>798.85000000000036</v>
      </c>
      <c r="G22" s="37">
        <f t="shared" si="6"/>
        <v>319.54080000000005</v>
      </c>
      <c r="H22" s="116">
        <v>44419</v>
      </c>
      <c r="I22" s="116" t="e">
        <f t="shared" si="5"/>
        <v>#REF!</v>
      </c>
      <c r="J22" s="233" t="e">
        <f t="shared" si="4"/>
        <v>#REF!</v>
      </c>
      <c r="K22" s="368">
        <v>8.3599999999999994E-2</v>
      </c>
      <c r="L22" s="385">
        <f t="shared" si="7"/>
        <v>66.783860000000018</v>
      </c>
    </row>
    <row r="23" spans="1:12" ht="16.5" customHeight="1" x14ac:dyDescent="0.25">
      <c r="A23" s="279">
        <v>4881</v>
      </c>
      <c r="B23" s="152">
        <v>0.8</v>
      </c>
      <c r="C23" s="154" t="s">
        <v>24</v>
      </c>
      <c r="D23" s="37">
        <v>742.12</v>
      </c>
      <c r="E23" s="155">
        <f t="shared" si="8"/>
        <v>593.70000000000005</v>
      </c>
      <c r="F23" s="37">
        <f t="shared" si="3"/>
        <v>148.41999999999996</v>
      </c>
      <c r="G23" s="37">
        <f t="shared" si="6"/>
        <v>59.369599999999998</v>
      </c>
      <c r="H23" s="116">
        <v>44411</v>
      </c>
      <c r="I23" s="116" t="e">
        <f t="shared" si="5"/>
        <v>#REF!</v>
      </c>
      <c r="J23" s="233" t="e">
        <f t="shared" si="4"/>
        <v>#REF!</v>
      </c>
      <c r="K23" s="368">
        <v>8.3599999999999994E-2</v>
      </c>
      <c r="L23" s="385">
        <f t="shared" si="7"/>
        <v>12.407911999999996</v>
      </c>
    </row>
    <row r="24" spans="1:12" ht="16.5" customHeight="1" x14ac:dyDescent="0.25">
      <c r="A24" s="279">
        <v>4968</v>
      </c>
      <c r="B24" s="152">
        <v>0.8</v>
      </c>
      <c r="C24" s="153" t="s">
        <v>25</v>
      </c>
      <c r="D24" s="37">
        <v>7064.51</v>
      </c>
      <c r="E24" s="155">
        <v>2000</v>
      </c>
      <c r="F24" s="37">
        <f>D24-E26-E24-E25</f>
        <v>1412.9000000000005</v>
      </c>
      <c r="G24" s="37">
        <f t="shared" si="6"/>
        <v>565.16079999999999</v>
      </c>
      <c r="H24" s="116">
        <v>44384</v>
      </c>
      <c r="I24" s="116" t="e">
        <f t="shared" si="5"/>
        <v>#REF!</v>
      </c>
      <c r="J24" s="233" t="e">
        <f t="shared" si="4"/>
        <v>#REF!</v>
      </c>
      <c r="K24" s="368">
        <v>8.3599999999999994E-2</v>
      </c>
      <c r="L24" s="385">
        <f t="shared" si="7"/>
        <v>118.11844000000004</v>
      </c>
    </row>
    <row r="25" spans="1:12" ht="16.5" customHeight="1" x14ac:dyDescent="0.25">
      <c r="A25" s="279"/>
      <c r="B25" s="152"/>
      <c r="C25" s="153"/>
      <c r="D25" s="37">
        <v>0</v>
      </c>
      <c r="E25" s="155">
        <v>1500</v>
      </c>
      <c r="F25" s="37">
        <v>0</v>
      </c>
      <c r="G25" s="37">
        <f t="shared" si="6"/>
        <v>0</v>
      </c>
      <c r="H25" s="116">
        <v>44390</v>
      </c>
      <c r="I25" s="116" t="e">
        <f t="shared" si="5"/>
        <v>#REF!</v>
      </c>
      <c r="J25" s="233" t="e">
        <f t="shared" si="4"/>
        <v>#REF!</v>
      </c>
      <c r="K25" s="368">
        <v>8.3599999999999994E-2</v>
      </c>
      <c r="L25" s="385">
        <f t="shared" si="7"/>
        <v>0</v>
      </c>
    </row>
    <row r="26" spans="1:12" ht="16.5" customHeight="1" x14ac:dyDescent="0.25">
      <c r="A26" s="279"/>
      <c r="B26" s="152"/>
      <c r="C26" s="153"/>
      <c r="D26" s="37">
        <v>0</v>
      </c>
      <c r="E26" s="155">
        <f>ROUND(D24*B24,2)-2000-1500</f>
        <v>2151.6099999999997</v>
      </c>
      <c r="F26" s="37">
        <v>0</v>
      </c>
      <c r="G26" s="37">
        <f t="shared" si="6"/>
        <v>0</v>
      </c>
      <c r="H26" s="116">
        <v>44411</v>
      </c>
      <c r="I26" s="116" t="e">
        <f t="shared" si="5"/>
        <v>#REF!</v>
      </c>
      <c r="J26" s="233" t="e">
        <f t="shared" si="4"/>
        <v>#REF!</v>
      </c>
      <c r="K26" s="368">
        <v>8.3599999999999994E-2</v>
      </c>
      <c r="L26" s="385">
        <f t="shared" si="7"/>
        <v>0</v>
      </c>
    </row>
    <row r="27" spans="1:12" ht="16.5" customHeight="1" x14ac:dyDescent="0.25">
      <c r="A27" s="279">
        <v>4952</v>
      </c>
      <c r="B27" s="152">
        <v>0.8</v>
      </c>
      <c r="C27" s="153" t="s">
        <v>60</v>
      </c>
      <c r="D27" s="37">
        <v>1265.83</v>
      </c>
      <c r="E27" s="155">
        <f t="shared" si="8"/>
        <v>1012.66</v>
      </c>
      <c r="F27" s="37">
        <f t="shared" si="3"/>
        <v>253.16999999999996</v>
      </c>
      <c r="G27" s="37">
        <f t="shared" si="6"/>
        <v>101.26639999999999</v>
      </c>
      <c r="H27" s="116">
        <v>44383</v>
      </c>
      <c r="I27" s="116" t="e">
        <f t="shared" si="5"/>
        <v>#REF!</v>
      </c>
      <c r="J27" s="233" t="e">
        <f t="shared" si="4"/>
        <v>#REF!</v>
      </c>
      <c r="K27" s="368">
        <v>8.3599999999999994E-2</v>
      </c>
      <c r="L27" s="385">
        <f t="shared" si="7"/>
        <v>21.165011999999994</v>
      </c>
    </row>
    <row r="28" spans="1:12" ht="16.5" customHeight="1" x14ac:dyDescent="0.25">
      <c r="A28" s="279">
        <v>5015</v>
      </c>
      <c r="B28" s="152">
        <v>0.8</v>
      </c>
      <c r="C28" s="153" t="s">
        <v>26</v>
      </c>
      <c r="D28" s="37">
        <v>6154.89</v>
      </c>
      <c r="E28" s="155">
        <v>0</v>
      </c>
      <c r="F28" s="37">
        <f>D28</f>
        <v>6154.89</v>
      </c>
      <c r="G28" s="37">
        <f t="shared" si="6"/>
        <v>492.39120000000003</v>
      </c>
      <c r="H28" s="116"/>
      <c r="I28" s="116" t="e">
        <f t="shared" si="5"/>
        <v>#REF!</v>
      </c>
      <c r="J28" s="233">
        <v>0</v>
      </c>
      <c r="K28" s="368">
        <v>8.3599999999999994E-2</v>
      </c>
      <c r="L28" s="385">
        <f t="shared" si="7"/>
        <v>514.54880400000002</v>
      </c>
    </row>
    <row r="29" spans="1:12" ht="16.5" customHeight="1" x14ac:dyDescent="0.25">
      <c r="A29" s="279">
        <v>4801</v>
      </c>
      <c r="B29" s="152">
        <v>0.8</v>
      </c>
      <c r="C29" s="153" t="s">
        <v>27</v>
      </c>
      <c r="D29" s="37">
        <v>4351.84</v>
      </c>
      <c r="E29" s="155">
        <v>0</v>
      </c>
      <c r="F29" s="37">
        <f>D29</f>
        <v>4351.84</v>
      </c>
      <c r="G29" s="37">
        <f t="shared" si="6"/>
        <v>348.1472</v>
      </c>
      <c r="H29" s="116"/>
      <c r="I29" s="116" t="e">
        <f t="shared" si="5"/>
        <v>#REF!</v>
      </c>
      <c r="J29" s="233">
        <v>0</v>
      </c>
      <c r="K29" s="368">
        <v>8.3599999999999994E-2</v>
      </c>
      <c r="L29" s="385">
        <f t="shared" si="7"/>
        <v>363.81382400000001</v>
      </c>
    </row>
    <row r="30" spans="1:12" ht="16.5" customHeight="1" x14ac:dyDescent="0.25">
      <c r="A30" s="279">
        <v>5006</v>
      </c>
      <c r="B30" s="152">
        <v>0.8</v>
      </c>
      <c r="C30" s="153" t="s">
        <v>28</v>
      </c>
      <c r="D30" s="37">
        <v>2266.41</v>
      </c>
      <c r="E30" s="155">
        <f t="shared" si="8"/>
        <v>1813.13</v>
      </c>
      <c r="F30" s="37">
        <f t="shared" si="3"/>
        <v>453.27999999999975</v>
      </c>
      <c r="G30" s="37">
        <f t="shared" si="6"/>
        <v>181.31279999999998</v>
      </c>
      <c r="H30" s="116">
        <v>44390</v>
      </c>
      <c r="I30" s="116" t="e">
        <f t="shared" si="5"/>
        <v>#REF!</v>
      </c>
      <c r="J30" s="233" t="e">
        <f t="shared" si="4"/>
        <v>#REF!</v>
      </c>
      <c r="K30" s="368">
        <v>8.3599999999999994E-2</v>
      </c>
      <c r="L30" s="385">
        <f t="shared" si="7"/>
        <v>37.894207999999978</v>
      </c>
    </row>
    <row r="31" spans="1:12" ht="16.5" customHeight="1" x14ac:dyDescent="0.25">
      <c r="A31" s="279">
        <v>4977</v>
      </c>
      <c r="B31" s="152">
        <v>0.8</v>
      </c>
      <c r="C31" s="153" t="s">
        <v>29</v>
      </c>
      <c r="D31" s="37">
        <v>2279.9899999999998</v>
      </c>
      <c r="E31" s="155">
        <f t="shared" si="8"/>
        <v>1823.99</v>
      </c>
      <c r="F31" s="37">
        <f t="shared" si="3"/>
        <v>455.99999999999977</v>
      </c>
      <c r="G31" s="37">
        <f t="shared" si="6"/>
        <v>182.39919999999998</v>
      </c>
      <c r="H31" s="116">
        <v>44419</v>
      </c>
      <c r="I31" s="116" t="e">
        <f t="shared" si="5"/>
        <v>#REF!</v>
      </c>
      <c r="J31" s="233" t="e">
        <f t="shared" si="4"/>
        <v>#REF!</v>
      </c>
      <c r="K31" s="368">
        <v>8.3599999999999994E-2</v>
      </c>
      <c r="L31" s="385">
        <f t="shared" si="7"/>
        <v>38.12159999999998</v>
      </c>
    </row>
    <row r="32" spans="1:12" ht="16.5" customHeight="1" x14ac:dyDescent="0.25">
      <c r="A32" s="279">
        <v>4761</v>
      </c>
      <c r="B32" s="152">
        <v>0.8</v>
      </c>
      <c r="C32" s="153" t="s">
        <v>102</v>
      </c>
      <c r="D32" s="37">
        <v>4693.3599999999997</v>
      </c>
      <c r="E32" s="155">
        <f t="shared" si="8"/>
        <v>3754.69</v>
      </c>
      <c r="F32" s="37">
        <f t="shared" si="3"/>
        <v>938.66999999999962</v>
      </c>
      <c r="G32" s="37">
        <f t="shared" si="6"/>
        <v>375.46879999999999</v>
      </c>
      <c r="H32" s="116">
        <v>44385</v>
      </c>
      <c r="I32" s="116" t="e">
        <f t="shared" si="5"/>
        <v>#REF!</v>
      </c>
      <c r="J32" s="233" t="e">
        <f t="shared" si="4"/>
        <v>#REF!</v>
      </c>
      <c r="K32" s="368">
        <v>8.3599999999999994E-2</v>
      </c>
      <c r="L32" s="385">
        <f t="shared" si="7"/>
        <v>78.472811999999962</v>
      </c>
    </row>
    <row r="33" spans="1:12" ht="16.5" customHeight="1" x14ac:dyDescent="0.25">
      <c r="A33" s="279">
        <v>4789</v>
      </c>
      <c r="B33" s="152">
        <v>0.8</v>
      </c>
      <c r="C33" s="153" t="s">
        <v>31</v>
      </c>
      <c r="D33" s="37">
        <v>2737.48</v>
      </c>
      <c r="E33" s="155">
        <f t="shared" si="8"/>
        <v>2189.98</v>
      </c>
      <c r="F33" s="37">
        <f t="shared" si="3"/>
        <v>547.5</v>
      </c>
      <c r="G33" s="37">
        <f t="shared" si="6"/>
        <v>218.9984</v>
      </c>
      <c r="H33" s="116">
        <v>44385</v>
      </c>
      <c r="I33" s="116" t="e">
        <f t="shared" si="5"/>
        <v>#REF!</v>
      </c>
      <c r="J33" s="233" t="e">
        <f t="shared" si="4"/>
        <v>#REF!</v>
      </c>
      <c r="K33" s="368">
        <v>8.3599999999999994E-2</v>
      </c>
      <c r="L33" s="385">
        <f t="shared" si="7"/>
        <v>45.770999999999994</v>
      </c>
    </row>
    <row r="34" spans="1:12" ht="16.5" customHeight="1" x14ac:dyDescent="0.25">
      <c r="A34" s="279">
        <v>4969</v>
      </c>
      <c r="B34" s="152">
        <v>0.8</v>
      </c>
      <c r="C34" s="153" t="s">
        <v>32</v>
      </c>
      <c r="D34" s="37">
        <v>2610.1</v>
      </c>
      <c r="E34" s="155">
        <f t="shared" si="2"/>
        <v>2088.08</v>
      </c>
      <c r="F34" s="37">
        <f t="shared" si="3"/>
        <v>522.02</v>
      </c>
      <c r="G34" s="37">
        <f t="shared" si="6"/>
        <v>208.80799999999999</v>
      </c>
      <c r="H34" s="116">
        <v>44386</v>
      </c>
      <c r="I34" s="116" t="e">
        <f t="shared" si="5"/>
        <v>#REF!</v>
      </c>
      <c r="J34" s="233" t="e">
        <f t="shared" si="4"/>
        <v>#REF!</v>
      </c>
      <c r="K34" s="368">
        <v>8.3599999999999994E-2</v>
      </c>
      <c r="L34" s="385">
        <f t="shared" si="7"/>
        <v>43.640871999999995</v>
      </c>
    </row>
    <row r="35" spans="1:12" ht="16.5" customHeight="1" x14ac:dyDescent="0.25">
      <c r="A35" s="279"/>
      <c r="B35" s="199"/>
      <c r="C35" s="46" t="s">
        <v>160</v>
      </c>
      <c r="D35" s="46">
        <f>SUM(D18:D34)</f>
        <v>45193.19</v>
      </c>
      <c r="E35" s="46">
        <f>SUM(E18:E34)</f>
        <v>26482.120000000003</v>
      </c>
      <c r="F35" s="46">
        <f>SUM(F18:F34)</f>
        <v>18711.07</v>
      </c>
      <c r="G35" s="46">
        <f>SUM(G18:G34)</f>
        <v>3615.4551999999999</v>
      </c>
      <c r="H35" s="213"/>
      <c r="I35" s="198"/>
      <c r="J35" s="234">
        <f t="shared" si="4"/>
        <v>0</v>
      </c>
      <c r="K35" s="386"/>
      <c r="L35" s="387">
        <f>SUM(L18:L34)</f>
        <v>1564.2454519999999</v>
      </c>
    </row>
    <row r="36" spans="1:12" ht="16.5" customHeight="1" x14ac:dyDescent="0.25">
      <c r="A36" s="279">
        <v>4937</v>
      </c>
      <c r="B36" s="152">
        <v>1</v>
      </c>
      <c r="C36" s="153" t="s">
        <v>33</v>
      </c>
      <c r="D36" s="37">
        <v>2106.0100000000002</v>
      </c>
      <c r="E36" s="155">
        <f>ROUND(D36*B36,2)</f>
        <v>2106.0100000000002</v>
      </c>
      <c r="F36" s="37">
        <f>D36-E36</f>
        <v>0</v>
      </c>
      <c r="G36" s="37">
        <f>D36*8%</f>
        <v>168.48080000000002</v>
      </c>
      <c r="H36" s="116">
        <v>44411</v>
      </c>
      <c r="I36" s="116" t="e">
        <f>I34</f>
        <v>#REF!</v>
      </c>
      <c r="J36" s="233" t="e">
        <f t="shared" si="4"/>
        <v>#REF!</v>
      </c>
      <c r="K36" s="368">
        <v>8.3599999999999994E-2</v>
      </c>
      <c r="L36" s="385">
        <f t="shared" ref="L36:L66" si="9">SUM(F36)*K36</f>
        <v>0</v>
      </c>
    </row>
    <row r="37" spans="1:12" ht="16.5" customHeight="1" x14ac:dyDescent="0.25">
      <c r="A37" s="279">
        <v>5122</v>
      </c>
      <c r="B37" s="152">
        <v>1</v>
      </c>
      <c r="C37" s="153" t="s">
        <v>34</v>
      </c>
      <c r="D37" s="37">
        <v>1270.21</v>
      </c>
      <c r="E37" s="155">
        <f t="shared" si="2"/>
        <v>1270.21</v>
      </c>
      <c r="F37" s="37">
        <f t="shared" si="3"/>
        <v>0</v>
      </c>
      <c r="G37" s="37">
        <f t="shared" ref="G37:G95" si="10">D37*8%</f>
        <v>101.61680000000001</v>
      </c>
      <c r="H37" s="116">
        <v>44383</v>
      </c>
      <c r="I37" s="116" t="e">
        <f t="shared" si="5"/>
        <v>#REF!</v>
      </c>
      <c r="J37" s="233" t="e">
        <f t="shared" si="4"/>
        <v>#REF!</v>
      </c>
      <c r="K37" s="368">
        <v>8.3599999999999994E-2</v>
      </c>
      <c r="L37" s="385">
        <f t="shared" si="9"/>
        <v>0</v>
      </c>
    </row>
    <row r="38" spans="1:12" ht="16.5" customHeight="1" x14ac:dyDescent="0.25">
      <c r="A38" s="279">
        <v>4763</v>
      </c>
      <c r="B38" s="152">
        <v>1</v>
      </c>
      <c r="C38" s="154" t="s">
        <v>16</v>
      </c>
      <c r="D38" s="37">
        <v>0.72</v>
      </c>
      <c r="E38" s="155">
        <f t="shared" si="2"/>
        <v>0.72</v>
      </c>
      <c r="F38" s="37">
        <f t="shared" si="3"/>
        <v>0</v>
      </c>
      <c r="G38" s="37">
        <f t="shared" si="10"/>
        <v>5.7599999999999998E-2</v>
      </c>
      <c r="H38" s="40">
        <v>44383</v>
      </c>
      <c r="I38" s="116" t="e">
        <f t="shared" si="5"/>
        <v>#REF!</v>
      </c>
      <c r="J38" s="233" t="e">
        <f t="shared" si="4"/>
        <v>#REF!</v>
      </c>
      <c r="K38" s="368">
        <v>8.3599999999999994E-2</v>
      </c>
      <c r="L38" s="385">
        <f t="shared" si="9"/>
        <v>0</v>
      </c>
    </row>
    <row r="39" spans="1:12" ht="16.5" customHeight="1" x14ac:dyDescent="0.25">
      <c r="A39" s="279">
        <v>4907</v>
      </c>
      <c r="B39" s="152">
        <v>1</v>
      </c>
      <c r="C39" s="153" t="s">
        <v>35</v>
      </c>
      <c r="D39" s="37">
        <v>102.54</v>
      </c>
      <c r="E39" s="155">
        <f t="shared" si="2"/>
        <v>102.54</v>
      </c>
      <c r="F39" s="37">
        <f t="shared" si="3"/>
        <v>0</v>
      </c>
      <c r="G39" s="37">
        <f t="shared" si="10"/>
        <v>8.2032000000000007</v>
      </c>
      <c r="H39" s="116">
        <v>44383</v>
      </c>
      <c r="I39" s="116" t="e">
        <f t="shared" si="5"/>
        <v>#REF!</v>
      </c>
      <c r="J39" s="233" t="e">
        <f t="shared" si="4"/>
        <v>#REF!</v>
      </c>
      <c r="K39" s="368">
        <v>8.3599999999999994E-2</v>
      </c>
      <c r="L39" s="385">
        <f t="shared" si="9"/>
        <v>0</v>
      </c>
    </row>
    <row r="40" spans="1:12" ht="16.5" customHeight="1" x14ac:dyDescent="0.25">
      <c r="A40" s="279">
        <v>5079</v>
      </c>
      <c r="B40" s="152">
        <v>1</v>
      </c>
      <c r="C40" s="153" t="s">
        <v>37</v>
      </c>
      <c r="D40" s="37">
        <v>1533.01</v>
      </c>
      <c r="E40" s="155">
        <f t="shared" si="2"/>
        <v>1533.01</v>
      </c>
      <c r="F40" s="37">
        <f t="shared" si="3"/>
        <v>0</v>
      </c>
      <c r="G40" s="37">
        <f t="shared" si="10"/>
        <v>122.6408</v>
      </c>
      <c r="H40" s="116">
        <v>44383</v>
      </c>
      <c r="I40" s="116" t="e">
        <f t="shared" si="5"/>
        <v>#REF!</v>
      </c>
      <c r="J40" s="233" t="e">
        <f t="shared" si="4"/>
        <v>#REF!</v>
      </c>
      <c r="K40" s="368">
        <v>8.3599999999999994E-2</v>
      </c>
      <c r="L40" s="385">
        <f t="shared" si="9"/>
        <v>0</v>
      </c>
    </row>
    <row r="41" spans="1:12" ht="16.5" customHeight="1" x14ac:dyDescent="0.25">
      <c r="A41" s="279">
        <v>5149</v>
      </c>
      <c r="B41" s="152">
        <v>1</v>
      </c>
      <c r="C41" s="153" t="s">
        <v>105</v>
      </c>
      <c r="D41" s="37">
        <v>954.49</v>
      </c>
      <c r="E41" s="155">
        <f t="shared" si="2"/>
        <v>954.49</v>
      </c>
      <c r="F41" s="37">
        <f t="shared" si="3"/>
        <v>0</v>
      </c>
      <c r="G41" s="37">
        <f t="shared" si="10"/>
        <v>76.359200000000001</v>
      </c>
      <c r="H41" s="116">
        <v>44383</v>
      </c>
      <c r="I41" s="116" t="e">
        <f t="shared" si="5"/>
        <v>#REF!</v>
      </c>
      <c r="J41" s="233" t="e">
        <f t="shared" si="4"/>
        <v>#REF!</v>
      </c>
      <c r="K41" s="368">
        <v>8.3599999999999994E-2</v>
      </c>
      <c r="L41" s="385">
        <f t="shared" si="9"/>
        <v>0</v>
      </c>
    </row>
    <row r="42" spans="1:12" ht="16.5" customHeight="1" x14ac:dyDescent="0.25">
      <c r="A42" s="279">
        <v>5073</v>
      </c>
      <c r="B42" s="152">
        <v>1</v>
      </c>
      <c r="C42" s="153" t="s">
        <v>38</v>
      </c>
      <c r="D42" s="37">
        <v>2593.0700000000002</v>
      </c>
      <c r="E42" s="155">
        <f t="shared" si="2"/>
        <v>2593.0700000000002</v>
      </c>
      <c r="F42" s="37">
        <f t="shared" si="3"/>
        <v>0</v>
      </c>
      <c r="G42" s="37">
        <f t="shared" si="10"/>
        <v>207.44560000000001</v>
      </c>
      <c r="H42" s="116">
        <v>44389</v>
      </c>
      <c r="I42" s="116" t="e">
        <f t="shared" si="5"/>
        <v>#REF!</v>
      </c>
      <c r="J42" s="233" t="e">
        <f t="shared" si="4"/>
        <v>#REF!</v>
      </c>
      <c r="K42" s="368">
        <v>8.3599999999999994E-2</v>
      </c>
      <c r="L42" s="385">
        <f t="shared" si="9"/>
        <v>0</v>
      </c>
    </row>
    <row r="43" spans="1:12" ht="16.5" customHeight="1" x14ac:dyDescent="0.25">
      <c r="A43" s="279">
        <v>2961</v>
      </c>
      <c r="B43" s="152">
        <v>1</v>
      </c>
      <c r="C43" s="153" t="s">
        <v>39</v>
      </c>
      <c r="D43" s="37">
        <v>5.28</v>
      </c>
      <c r="E43" s="155">
        <f t="shared" si="2"/>
        <v>5.28</v>
      </c>
      <c r="F43" s="37">
        <f t="shared" si="3"/>
        <v>0</v>
      </c>
      <c r="G43" s="37">
        <f t="shared" si="10"/>
        <v>0.42240000000000005</v>
      </c>
      <c r="H43" s="116">
        <v>44383</v>
      </c>
      <c r="I43" s="116" t="e">
        <f t="shared" si="5"/>
        <v>#REF!</v>
      </c>
      <c r="J43" s="233" t="e">
        <f t="shared" si="4"/>
        <v>#REF!</v>
      </c>
      <c r="K43" s="368">
        <v>8.3599999999999994E-2</v>
      </c>
      <c r="L43" s="385">
        <f t="shared" si="9"/>
        <v>0</v>
      </c>
    </row>
    <row r="44" spans="1:12" ht="16.5" customHeight="1" x14ac:dyDescent="0.25">
      <c r="A44" s="279">
        <v>108</v>
      </c>
      <c r="B44" s="152">
        <v>1</v>
      </c>
      <c r="C44" s="153" t="s">
        <v>40</v>
      </c>
      <c r="D44" s="37">
        <v>9.76</v>
      </c>
      <c r="E44" s="155">
        <f t="shared" si="2"/>
        <v>9.76</v>
      </c>
      <c r="F44" s="37">
        <f t="shared" si="3"/>
        <v>0</v>
      </c>
      <c r="G44" s="37">
        <f t="shared" si="10"/>
        <v>0.78080000000000005</v>
      </c>
      <c r="H44" s="116">
        <v>44383</v>
      </c>
      <c r="I44" s="116" t="e">
        <f t="shared" si="5"/>
        <v>#REF!</v>
      </c>
      <c r="J44" s="233" t="e">
        <f t="shared" si="4"/>
        <v>#REF!</v>
      </c>
      <c r="K44" s="368">
        <v>8.3599999999999994E-2</v>
      </c>
      <c r="L44" s="385">
        <f t="shared" si="9"/>
        <v>0</v>
      </c>
    </row>
    <row r="45" spans="1:12" ht="16.5" customHeight="1" x14ac:dyDescent="0.25">
      <c r="A45" s="279">
        <v>5048</v>
      </c>
      <c r="B45" s="152">
        <v>1</v>
      </c>
      <c r="C45" s="153" t="s">
        <v>41</v>
      </c>
      <c r="D45" s="37">
        <v>1031.99</v>
      </c>
      <c r="E45" s="155">
        <f t="shared" si="2"/>
        <v>1031.99</v>
      </c>
      <c r="F45" s="37">
        <f t="shared" si="3"/>
        <v>0</v>
      </c>
      <c r="G45" s="37">
        <f t="shared" si="10"/>
        <v>82.559200000000004</v>
      </c>
      <c r="H45" s="116">
        <v>44384</v>
      </c>
      <c r="I45" s="116" t="e">
        <f t="shared" si="5"/>
        <v>#REF!</v>
      </c>
      <c r="J45" s="233" t="e">
        <f t="shared" si="4"/>
        <v>#REF!</v>
      </c>
      <c r="K45" s="368">
        <v>8.3599999999999994E-2</v>
      </c>
      <c r="L45" s="385">
        <f t="shared" si="9"/>
        <v>0</v>
      </c>
    </row>
    <row r="46" spans="1:12" ht="16.5" customHeight="1" x14ac:dyDescent="0.25">
      <c r="A46" s="279">
        <v>5045</v>
      </c>
      <c r="B46" s="152">
        <v>1</v>
      </c>
      <c r="C46" s="153" t="s">
        <v>42</v>
      </c>
      <c r="D46" s="37">
        <v>1532.97</v>
      </c>
      <c r="E46" s="155">
        <f t="shared" si="2"/>
        <v>1532.97</v>
      </c>
      <c r="F46" s="37">
        <f t="shared" si="3"/>
        <v>0</v>
      </c>
      <c r="G46" s="37">
        <f t="shared" si="10"/>
        <v>122.63760000000001</v>
      </c>
      <c r="H46" s="116">
        <v>44384</v>
      </c>
      <c r="I46" s="116" t="e">
        <f t="shared" si="5"/>
        <v>#REF!</v>
      </c>
      <c r="J46" s="233" t="e">
        <f t="shared" si="4"/>
        <v>#REF!</v>
      </c>
      <c r="K46" s="368">
        <v>8.3599999999999994E-2</v>
      </c>
      <c r="L46" s="385">
        <f t="shared" si="9"/>
        <v>0</v>
      </c>
    </row>
    <row r="47" spans="1:12" ht="16.5" customHeight="1" x14ac:dyDescent="0.25">
      <c r="A47" s="279">
        <v>2526</v>
      </c>
      <c r="B47" s="152">
        <v>1</v>
      </c>
      <c r="C47" s="153" t="s">
        <v>43</v>
      </c>
      <c r="D47" s="37">
        <v>51.27</v>
      </c>
      <c r="E47" s="155">
        <f t="shared" si="2"/>
        <v>51.27</v>
      </c>
      <c r="F47" s="37">
        <f t="shared" si="3"/>
        <v>0</v>
      </c>
      <c r="G47" s="37">
        <f t="shared" si="10"/>
        <v>4.1016000000000004</v>
      </c>
      <c r="H47" s="116">
        <v>44383</v>
      </c>
      <c r="I47" s="116" t="e">
        <f t="shared" si="5"/>
        <v>#REF!</v>
      </c>
      <c r="J47" s="233" t="e">
        <f t="shared" si="4"/>
        <v>#REF!</v>
      </c>
      <c r="K47" s="368">
        <v>8.3599999999999994E-2</v>
      </c>
      <c r="L47" s="385">
        <f t="shared" si="9"/>
        <v>0</v>
      </c>
    </row>
    <row r="48" spans="1:12" ht="16.5" customHeight="1" x14ac:dyDescent="0.25">
      <c r="A48" s="279">
        <v>4605</v>
      </c>
      <c r="B48" s="152">
        <v>1</v>
      </c>
      <c r="C48" s="153" t="s">
        <v>44</v>
      </c>
      <c r="D48" s="37">
        <v>4.93</v>
      </c>
      <c r="E48" s="155">
        <f>ROUND(D48*B48,2)</f>
        <v>4.93</v>
      </c>
      <c r="F48" s="37">
        <f>D48-E48</f>
        <v>0</v>
      </c>
      <c r="G48" s="37">
        <f t="shared" si="10"/>
        <v>0.39439999999999997</v>
      </c>
      <c r="H48" s="116">
        <v>44383</v>
      </c>
      <c r="I48" s="116" t="e">
        <f t="shared" si="5"/>
        <v>#REF!</v>
      </c>
      <c r="J48" s="233" t="e">
        <f t="shared" si="4"/>
        <v>#REF!</v>
      </c>
      <c r="K48" s="368">
        <v>8.3599999999999994E-2</v>
      </c>
      <c r="L48" s="385">
        <f t="shared" si="9"/>
        <v>0</v>
      </c>
    </row>
    <row r="49" spans="1:12" ht="16.5" customHeight="1" x14ac:dyDescent="0.25">
      <c r="A49" s="279">
        <v>4130</v>
      </c>
      <c r="B49" s="152">
        <v>1</v>
      </c>
      <c r="C49" s="153" t="s">
        <v>46</v>
      </c>
      <c r="D49" s="37">
        <v>5.28</v>
      </c>
      <c r="E49" s="155">
        <f t="shared" si="2"/>
        <v>5.28</v>
      </c>
      <c r="F49" s="37">
        <f t="shared" si="3"/>
        <v>0</v>
      </c>
      <c r="G49" s="37">
        <f t="shared" si="10"/>
        <v>0.42240000000000005</v>
      </c>
      <c r="H49" s="116">
        <v>44383</v>
      </c>
      <c r="I49" s="116" t="e">
        <f>#REF!</f>
        <v>#REF!</v>
      </c>
      <c r="J49" s="233" t="e">
        <f t="shared" si="4"/>
        <v>#REF!</v>
      </c>
      <c r="K49" s="368">
        <v>8.3599999999999994E-2</v>
      </c>
      <c r="L49" s="385">
        <f t="shared" si="9"/>
        <v>0</v>
      </c>
    </row>
    <row r="50" spans="1:12" ht="16.5" customHeight="1" x14ac:dyDescent="0.25">
      <c r="A50" s="279">
        <v>4666</v>
      </c>
      <c r="B50" s="152">
        <v>1</v>
      </c>
      <c r="C50" s="153" t="s">
        <v>47</v>
      </c>
      <c r="D50" s="37">
        <v>6.63</v>
      </c>
      <c r="E50" s="155">
        <f t="shared" si="2"/>
        <v>6.63</v>
      </c>
      <c r="F50" s="37">
        <f t="shared" si="3"/>
        <v>0</v>
      </c>
      <c r="G50" s="37">
        <f t="shared" si="10"/>
        <v>0.53039999999999998</v>
      </c>
      <c r="H50" s="40">
        <v>44383</v>
      </c>
      <c r="I50" s="116" t="e">
        <f t="shared" si="5"/>
        <v>#REF!</v>
      </c>
      <c r="J50" s="233" t="e">
        <f t="shared" si="4"/>
        <v>#REF!</v>
      </c>
      <c r="K50" s="368">
        <v>8.3599999999999994E-2</v>
      </c>
      <c r="L50" s="385">
        <f t="shared" si="9"/>
        <v>0</v>
      </c>
    </row>
    <row r="51" spans="1:12" ht="16.5" customHeight="1" x14ac:dyDescent="0.25">
      <c r="A51" s="279">
        <v>4906</v>
      </c>
      <c r="B51" s="152">
        <v>1</v>
      </c>
      <c r="C51" s="154" t="s">
        <v>2</v>
      </c>
      <c r="D51" s="37">
        <v>7.14</v>
      </c>
      <c r="E51" s="155">
        <f>ROUND(D51*B51,2)</f>
        <v>7.14</v>
      </c>
      <c r="F51" s="37">
        <f>D51-E51</f>
        <v>0</v>
      </c>
      <c r="G51" s="37">
        <f t="shared" si="10"/>
        <v>0.57120000000000004</v>
      </c>
      <c r="H51" s="40">
        <v>44383</v>
      </c>
      <c r="I51" s="116" t="e">
        <f t="shared" si="5"/>
        <v>#REF!</v>
      </c>
      <c r="J51" s="233" t="e">
        <f t="shared" si="4"/>
        <v>#REF!</v>
      </c>
      <c r="K51" s="368">
        <v>8.3599999999999994E-2</v>
      </c>
      <c r="L51" s="385">
        <f t="shared" si="9"/>
        <v>0</v>
      </c>
    </row>
    <row r="52" spans="1:12" ht="16.5" customHeight="1" x14ac:dyDescent="0.25">
      <c r="A52" s="279">
        <v>5127</v>
      </c>
      <c r="B52" s="152">
        <v>1</v>
      </c>
      <c r="C52" s="153" t="s">
        <v>50</v>
      </c>
      <c r="D52" s="37">
        <v>1529.21</v>
      </c>
      <c r="E52" s="155">
        <f t="shared" si="2"/>
        <v>1529.21</v>
      </c>
      <c r="F52" s="37">
        <f t="shared" si="3"/>
        <v>0</v>
      </c>
      <c r="G52" s="37">
        <f t="shared" si="10"/>
        <v>122.33680000000001</v>
      </c>
      <c r="H52" s="116">
        <v>44384</v>
      </c>
      <c r="I52" s="116" t="e">
        <f t="shared" si="5"/>
        <v>#REF!</v>
      </c>
      <c r="J52" s="233" t="e">
        <f t="shared" si="4"/>
        <v>#REF!</v>
      </c>
      <c r="K52" s="368">
        <v>8.3599999999999994E-2</v>
      </c>
      <c r="L52" s="385">
        <f t="shared" si="9"/>
        <v>0</v>
      </c>
    </row>
    <row r="53" spans="1:12" ht="16.5" customHeight="1" x14ac:dyDescent="0.25">
      <c r="A53" s="279">
        <v>4996</v>
      </c>
      <c r="B53" s="152">
        <v>1</v>
      </c>
      <c r="C53" s="153" t="s">
        <v>51</v>
      </c>
      <c r="D53" s="37">
        <v>55.75</v>
      </c>
      <c r="E53" s="155">
        <f>ROUND(D53*B53,2)</f>
        <v>55.75</v>
      </c>
      <c r="F53" s="37">
        <f>D53-E53</f>
        <v>0</v>
      </c>
      <c r="G53" s="37">
        <f t="shared" si="10"/>
        <v>4.46</v>
      </c>
      <c r="H53" s="116">
        <v>44383</v>
      </c>
      <c r="I53" s="116" t="e">
        <f t="shared" si="5"/>
        <v>#REF!</v>
      </c>
      <c r="J53" s="233" t="e">
        <f t="shared" si="4"/>
        <v>#REF!</v>
      </c>
      <c r="K53" s="368">
        <v>8.3599999999999994E-2</v>
      </c>
      <c r="L53" s="385">
        <f t="shared" si="9"/>
        <v>0</v>
      </c>
    </row>
    <row r="54" spans="1:12" ht="16.5" customHeight="1" x14ac:dyDescent="0.25">
      <c r="A54" s="279">
        <v>4693</v>
      </c>
      <c r="B54" s="152">
        <v>1</v>
      </c>
      <c r="C54" s="153" t="s">
        <v>52</v>
      </c>
      <c r="D54" s="37">
        <v>54.63</v>
      </c>
      <c r="E54" s="155">
        <f>ROUND(D54*B54,2)</f>
        <v>54.63</v>
      </c>
      <c r="F54" s="37">
        <f>D54-E54</f>
        <v>0</v>
      </c>
      <c r="G54" s="37">
        <f t="shared" si="10"/>
        <v>4.3704000000000001</v>
      </c>
      <c r="H54" s="116">
        <v>44383</v>
      </c>
      <c r="I54" s="116" t="e">
        <f t="shared" si="5"/>
        <v>#REF!</v>
      </c>
      <c r="J54" s="233" t="e">
        <f t="shared" si="4"/>
        <v>#REF!</v>
      </c>
      <c r="K54" s="368">
        <v>8.3599999999999994E-2</v>
      </c>
      <c r="L54" s="385">
        <f t="shared" si="9"/>
        <v>0</v>
      </c>
    </row>
    <row r="55" spans="1:12" ht="16.5" customHeight="1" x14ac:dyDescent="0.25">
      <c r="A55" s="279">
        <v>5047</v>
      </c>
      <c r="B55" s="152">
        <v>1</v>
      </c>
      <c r="C55" s="153" t="s">
        <v>53</v>
      </c>
      <c r="D55" s="37">
        <v>2164.9899999999998</v>
      </c>
      <c r="E55" s="155">
        <f>ROUND(D55*B55,2)</f>
        <v>2164.9899999999998</v>
      </c>
      <c r="F55" s="37">
        <v>0</v>
      </c>
      <c r="G55" s="37">
        <f t="shared" si="10"/>
        <v>173.19919999999999</v>
      </c>
      <c r="H55" s="116">
        <v>44411</v>
      </c>
      <c r="I55" s="116" t="e">
        <f t="shared" si="5"/>
        <v>#REF!</v>
      </c>
      <c r="J55" s="233" t="e">
        <f t="shared" si="4"/>
        <v>#REF!</v>
      </c>
      <c r="K55" s="368">
        <v>8.3599999999999994E-2</v>
      </c>
      <c r="L55" s="385">
        <f t="shared" si="9"/>
        <v>0</v>
      </c>
    </row>
    <row r="56" spans="1:12" ht="16.5" customHeight="1" x14ac:dyDescent="0.25">
      <c r="A56" s="279">
        <v>230</v>
      </c>
      <c r="B56" s="152">
        <v>1</v>
      </c>
      <c r="C56" s="153" t="s">
        <v>54</v>
      </c>
      <c r="D56" s="37">
        <v>7.92</v>
      </c>
      <c r="E56" s="155">
        <f t="shared" si="2"/>
        <v>7.92</v>
      </c>
      <c r="F56" s="37">
        <f t="shared" si="3"/>
        <v>0</v>
      </c>
      <c r="G56" s="37">
        <f t="shared" si="10"/>
        <v>0.63360000000000005</v>
      </c>
      <c r="H56" s="116">
        <v>44383</v>
      </c>
      <c r="I56" s="116" t="e">
        <f t="shared" si="5"/>
        <v>#REF!</v>
      </c>
      <c r="J56" s="233" t="e">
        <f t="shared" si="4"/>
        <v>#REF!</v>
      </c>
      <c r="K56" s="368">
        <v>8.3599999999999994E-2</v>
      </c>
      <c r="L56" s="385">
        <f t="shared" si="9"/>
        <v>0</v>
      </c>
    </row>
    <row r="57" spans="1:12" ht="16.5" customHeight="1" x14ac:dyDescent="0.25">
      <c r="A57" s="279">
        <v>4959</v>
      </c>
      <c r="B57" s="152">
        <v>1</v>
      </c>
      <c r="C57" s="153" t="s">
        <v>55</v>
      </c>
      <c r="D57" s="37">
        <v>4.33</v>
      </c>
      <c r="E57" s="155">
        <f t="shared" si="2"/>
        <v>4.33</v>
      </c>
      <c r="F57" s="37">
        <f t="shared" si="3"/>
        <v>0</v>
      </c>
      <c r="G57" s="37">
        <f t="shared" si="10"/>
        <v>0.34639999999999999</v>
      </c>
      <c r="H57" s="116">
        <v>44383</v>
      </c>
      <c r="I57" s="116" t="e">
        <f t="shared" si="5"/>
        <v>#REF!</v>
      </c>
      <c r="J57" s="233" t="e">
        <f t="shared" si="4"/>
        <v>#REF!</v>
      </c>
      <c r="K57" s="368">
        <v>8.3599999999999994E-2</v>
      </c>
      <c r="L57" s="385">
        <f t="shared" si="9"/>
        <v>0</v>
      </c>
    </row>
    <row r="58" spans="1:12" ht="16.5" customHeight="1" x14ac:dyDescent="0.25">
      <c r="A58" s="279">
        <v>4808</v>
      </c>
      <c r="B58" s="152">
        <v>1</v>
      </c>
      <c r="C58" s="153" t="s">
        <v>56</v>
      </c>
      <c r="D58" s="37">
        <v>1213.83</v>
      </c>
      <c r="E58" s="155">
        <f>ROUND(D58*B58,2)</f>
        <v>1213.83</v>
      </c>
      <c r="F58" s="37">
        <f>D58-E58</f>
        <v>0</v>
      </c>
      <c r="G58" s="37">
        <f t="shared" si="10"/>
        <v>97.106399999999994</v>
      </c>
      <c r="H58" s="116">
        <v>44384</v>
      </c>
      <c r="I58" s="116" t="e">
        <f t="shared" si="5"/>
        <v>#REF!</v>
      </c>
      <c r="J58" s="233" t="e">
        <f t="shared" si="4"/>
        <v>#REF!</v>
      </c>
      <c r="K58" s="368">
        <v>8.3599999999999994E-2</v>
      </c>
      <c r="L58" s="385">
        <f t="shared" si="9"/>
        <v>0</v>
      </c>
    </row>
    <row r="59" spans="1:12" ht="16.5" customHeight="1" x14ac:dyDescent="0.25">
      <c r="A59" s="279">
        <v>5019</v>
      </c>
      <c r="B59" s="152">
        <v>1</v>
      </c>
      <c r="C59" s="153" t="s">
        <v>57</v>
      </c>
      <c r="D59" s="37">
        <v>4.1500000000000004</v>
      </c>
      <c r="E59" s="155">
        <f t="shared" si="2"/>
        <v>4.1500000000000004</v>
      </c>
      <c r="F59" s="37">
        <f t="shared" si="3"/>
        <v>0</v>
      </c>
      <c r="G59" s="37">
        <f t="shared" si="10"/>
        <v>0.33200000000000002</v>
      </c>
      <c r="H59" s="116">
        <v>44383</v>
      </c>
      <c r="I59" s="116" t="e">
        <f t="shared" si="5"/>
        <v>#REF!</v>
      </c>
      <c r="J59" s="233" t="e">
        <f t="shared" si="4"/>
        <v>#REF!</v>
      </c>
      <c r="K59" s="368">
        <v>8.3599999999999994E-2</v>
      </c>
      <c r="L59" s="385">
        <f t="shared" si="9"/>
        <v>0</v>
      </c>
    </row>
    <row r="60" spans="1:12" ht="16.5" customHeight="1" x14ac:dyDescent="0.25">
      <c r="A60" s="279">
        <v>5152</v>
      </c>
      <c r="B60" s="152">
        <v>1</v>
      </c>
      <c r="C60" s="153" t="s">
        <v>114</v>
      </c>
      <c r="D60" s="37">
        <v>436.65</v>
      </c>
      <c r="E60" s="155">
        <f t="shared" si="2"/>
        <v>436.65</v>
      </c>
      <c r="F60" s="37">
        <f t="shared" si="3"/>
        <v>0</v>
      </c>
      <c r="G60" s="37">
        <f t="shared" si="10"/>
        <v>34.932000000000002</v>
      </c>
      <c r="H60" s="116">
        <v>44383</v>
      </c>
      <c r="I60" s="116" t="e">
        <f t="shared" si="5"/>
        <v>#REF!</v>
      </c>
      <c r="J60" s="233" t="e">
        <f t="shared" si="4"/>
        <v>#REF!</v>
      </c>
      <c r="K60" s="368">
        <v>8.3599999999999994E-2</v>
      </c>
      <c r="L60" s="385">
        <f t="shared" si="9"/>
        <v>0</v>
      </c>
    </row>
    <row r="61" spans="1:12" ht="16.5" customHeight="1" x14ac:dyDescent="0.25">
      <c r="A61" s="279">
        <v>4150</v>
      </c>
      <c r="B61" s="152">
        <v>1</v>
      </c>
      <c r="C61" s="153" t="s">
        <v>58</v>
      </c>
      <c r="D61" s="37">
        <v>3.87</v>
      </c>
      <c r="E61" s="155">
        <f t="shared" si="2"/>
        <v>3.87</v>
      </c>
      <c r="F61" s="37">
        <f t="shared" si="3"/>
        <v>0</v>
      </c>
      <c r="G61" s="37">
        <f t="shared" si="10"/>
        <v>0.30960000000000004</v>
      </c>
      <c r="H61" s="116">
        <v>44383</v>
      </c>
      <c r="I61" s="116" t="e">
        <f t="shared" si="5"/>
        <v>#REF!</v>
      </c>
      <c r="J61" s="233" t="e">
        <f t="shared" si="4"/>
        <v>#REF!</v>
      </c>
      <c r="K61" s="368">
        <v>8.3599999999999994E-2</v>
      </c>
      <c r="L61" s="385">
        <f t="shared" si="9"/>
        <v>0</v>
      </c>
    </row>
    <row r="62" spans="1:12" s="142" customFormat="1" ht="16.5" customHeight="1" x14ac:dyDescent="0.25">
      <c r="A62" s="279">
        <v>4820</v>
      </c>
      <c r="B62" s="152">
        <v>1</v>
      </c>
      <c r="C62" s="153" t="s">
        <v>59</v>
      </c>
      <c r="D62" s="37">
        <v>4.33</v>
      </c>
      <c r="E62" s="155">
        <f>ROUND(D62*B62,2)</f>
        <v>4.33</v>
      </c>
      <c r="F62" s="37">
        <f>D62-E62</f>
        <v>0</v>
      </c>
      <c r="G62" s="37">
        <f t="shared" si="10"/>
        <v>0.34639999999999999</v>
      </c>
      <c r="H62" s="116">
        <v>44383</v>
      </c>
      <c r="I62" s="116" t="e">
        <f t="shared" si="5"/>
        <v>#REF!</v>
      </c>
      <c r="J62" s="233" t="e">
        <f t="shared" si="4"/>
        <v>#REF!</v>
      </c>
      <c r="K62" s="368">
        <v>8.3599999999999994E-2</v>
      </c>
      <c r="L62" s="385">
        <f t="shared" si="9"/>
        <v>0</v>
      </c>
    </row>
    <row r="63" spans="1:12" ht="16.5" customHeight="1" x14ac:dyDescent="0.25">
      <c r="A63" s="279">
        <v>5000</v>
      </c>
      <c r="B63" s="152">
        <v>1</v>
      </c>
      <c r="C63" s="153" t="s">
        <v>61</v>
      </c>
      <c r="D63" s="37">
        <v>54.11</v>
      </c>
      <c r="E63" s="155">
        <f t="shared" si="2"/>
        <v>54.11</v>
      </c>
      <c r="F63" s="37">
        <f t="shared" ref="F63:F104" si="11">D63-E63</f>
        <v>0</v>
      </c>
      <c r="G63" s="37">
        <f t="shared" si="10"/>
        <v>4.3288000000000002</v>
      </c>
      <c r="H63" s="116">
        <v>44383</v>
      </c>
      <c r="I63" s="116" t="e">
        <f t="shared" si="5"/>
        <v>#REF!</v>
      </c>
      <c r="J63" s="233" t="e">
        <f t="shared" si="4"/>
        <v>#REF!</v>
      </c>
      <c r="K63" s="368">
        <v>8.3599999999999994E-2</v>
      </c>
      <c r="L63" s="385">
        <f t="shared" si="9"/>
        <v>0</v>
      </c>
    </row>
    <row r="64" spans="1:12" ht="16.5" customHeight="1" x14ac:dyDescent="0.25">
      <c r="A64" s="279">
        <v>5150</v>
      </c>
      <c r="B64" s="152">
        <v>1</v>
      </c>
      <c r="C64" s="153" t="s">
        <v>107</v>
      </c>
      <c r="D64" s="37">
        <v>477.25</v>
      </c>
      <c r="E64" s="155">
        <f t="shared" si="2"/>
        <v>477.25</v>
      </c>
      <c r="F64" s="37">
        <f t="shared" si="11"/>
        <v>0</v>
      </c>
      <c r="G64" s="37">
        <f t="shared" si="10"/>
        <v>38.18</v>
      </c>
      <c r="H64" s="116">
        <v>44383</v>
      </c>
      <c r="I64" s="116" t="e">
        <f t="shared" si="5"/>
        <v>#REF!</v>
      </c>
      <c r="J64" s="233" t="e">
        <f t="shared" si="4"/>
        <v>#REF!</v>
      </c>
      <c r="K64" s="368">
        <v>8.3599999999999994E-2</v>
      </c>
      <c r="L64" s="385">
        <f t="shared" si="9"/>
        <v>0</v>
      </c>
    </row>
    <row r="65" spans="1:12" ht="16.5" customHeight="1" x14ac:dyDescent="0.25">
      <c r="A65" s="279">
        <v>5154</v>
      </c>
      <c r="B65" s="152">
        <v>1</v>
      </c>
      <c r="C65" s="153" t="s">
        <v>115</v>
      </c>
      <c r="D65" s="37">
        <v>770.76</v>
      </c>
      <c r="E65" s="155">
        <f t="shared" si="2"/>
        <v>770.76</v>
      </c>
      <c r="F65" s="37">
        <f t="shared" si="11"/>
        <v>0</v>
      </c>
      <c r="G65" s="37">
        <f t="shared" si="10"/>
        <v>61.660800000000002</v>
      </c>
      <c r="H65" s="116">
        <v>44383</v>
      </c>
      <c r="I65" s="116" t="e">
        <f t="shared" si="5"/>
        <v>#REF!</v>
      </c>
      <c r="J65" s="233" t="e">
        <f t="shared" si="4"/>
        <v>#REF!</v>
      </c>
      <c r="K65" s="368">
        <v>8.3599999999999994E-2</v>
      </c>
      <c r="L65" s="385">
        <f t="shared" si="9"/>
        <v>0</v>
      </c>
    </row>
    <row r="66" spans="1:12" ht="16.5" customHeight="1" x14ac:dyDescent="0.25">
      <c r="A66" s="279">
        <v>5086</v>
      </c>
      <c r="B66" s="152">
        <v>1</v>
      </c>
      <c r="C66" s="153" t="s">
        <v>62</v>
      </c>
      <c r="D66" s="37">
        <v>2.85</v>
      </c>
      <c r="E66" s="155">
        <f t="shared" si="2"/>
        <v>2.85</v>
      </c>
      <c r="F66" s="37">
        <f t="shared" si="11"/>
        <v>0</v>
      </c>
      <c r="G66" s="37">
        <f t="shared" si="10"/>
        <v>0.22800000000000001</v>
      </c>
      <c r="H66" s="116">
        <v>44383</v>
      </c>
      <c r="I66" s="116" t="e">
        <f t="shared" si="5"/>
        <v>#REF!</v>
      </c>
      <c r="J66" s="233" t="e">
        <f t="shared" ref="J66:J104" si="12">H66-I66</f>
        <v>#REF!</v>
      </c>
      <c r="K66" s="368">
        <v>8.3599999999999994E-2</v>
      </c>
      <c r="L66" s="385">
        <f t="shared" si="9"/>
        <v>0</v>
      </c>
    </row>
    <row r="67" spans="1:12" ht="16.5" customHeight="1" x14ac:dyDescent="0.25">
      <c r="A67" s="279">
        <v>329</v>
      </c>
      <c r="B67" s="152">
        <v>1</v>
      </c>
      <c r="C67" s="153" t="s">
        <v>64</v>
      </c>
      <c r="D67" s="37">
        <v>10.79</v>
      </c>
      <c r="E67" s="155">
        <f t="shared" ref="E67:E104" si="13">ROUND(D67*B67,2)</f>
        <v>10.79</v>
      </c>
      <c r="F67" s="37">
        <f t="shared" si="11"/>
        <v>0</v>
      </c>
      <c r="G67" s="37">
        <f t="shared" si="10"/>
        <v>0.86319999999999997</v>
      </c>
      <c r="H67" s="116">
        <v>44383</v>
      </c>
      <c r="I67" s="116" t="e">
        <f t="shared" si="5"/>
        <v>#REF!</v>
      </c>
      <c r="J67" s="233" t="e">
        <f t="shared" si="12"/>
        <v>#REF!</v>
      </c>
      <c r="K67" s="368">
        <v>8.3599999999999994E-2</v>
      </c>
      <c r="L67" s="385">
        <f t="shared" ref="L67:L95" si="14">SUM(F67)*K67</f>
        <v>0</v>
      </c>
    </row>
    <row r="68" spans="1:12" ht="16.5" customHeight="1" x14ac:dyDescent="0.25">
      <c r="A68" s="279">
        <v>5059</v>
      </c>
      <c r="B68" s="152">
        <v>1</v>
      </c>
      <c r="C68" s="153" t="s">
        <v>65</v>
      </c>
      <c r="D68" s="37">
        <v>467.89</v>
      </c>
      <c r="E68" s="155">
        <f t="shared" si="13"/>
        <v>467.89</v>
      </c>
      <c r="F68" s="37">
        <f t="shared" si="11"/>
        <v>0</v>
      </c>
      <c r="G68" s="37">
        <f t="shared" si="10"/>
        <v>37.431199999999997</v>
      </c>
      <c r="H68" s="116">
        <v>44383</v>
      </c>
      <c r="I68" s="116" t="e">
        <f t="shared" ref="I68:I104" si="15">I67</f>
        <v>#REF!</v>
      </c>
      <c r="J68" s="233" t="e">
        <f t="shared" si="12"/>
        <v>#REF!</v>
      </c>
      <c r="K68" s="368">
        <v>8.3599999999999994E-2</v>
      </c>
      <c r="L68" s="385">
        <f t="shared" si="14"/>
        <v>0</v>
      </c>
    </row>
    <row r="69" spans="1:12" ht="16.5" customHeight="1" x14ac:dyDescent="0.25">
      <c r="A69" s="279">
        <v>5115</v>
      </c>
      <c r="B69" s="152">
        <v>1</v>
      </c>
      <c r="C69" s="153" t="s">
        <v>66</v>
      </c>
      <c r="D69" s="37">
        <v>1040.6400000000001</v>
      </c>
      <c r="E69" s="155">
        <f t="shared" si="13"/>
        <v>1040.6400000000001</v>
      </c>
      <c r="F69" s="37">
        <f t="shared" si="11"/>
        <v>0</v>
      </c>
      <c r="G69" s="37">
        <f t="shared" si="10"/>
        <v>83.251200000000011</v>
      </c>
      <c r="H69" s="116">
        <v>44411</v>
      </c>
      <c r="I69" s="116" t="e">
        <f t="shared" si="15"/>
        <v>#REF!</v>
      </c>
      <c r="J69" s="233" t="e">
        <f t="shared" si="12"/>
        <v>#REF!</v>
      </c>
      <c r="K69" s="368">
        <v>8.3599999999999994E-2</v>
      </c>
      <c r="L69" s="385">
        <f t="shared" si="14"/>
        <v>0</v>
      </c>
    </row>
    <row r="70" spans="1:12" ht="16.5" customHeight="1" x14ac:dyDescent="0.25">
      <c r="A70" s="279">
        <v>5128</v>
      </c>
      <c r="B70" s="152">
        <v>1</v>
      </c>
      <c r="C70" s="153" t="s">
        <v>67</v>
      </c>
      <c r="D70" s="37">
        <v>766.96</v>
      </c>
      <c r="E70" s="155">
        <f t="shared" si="13"/>
        <v>766.96</v>
      </c>
      <c r="F70" s="37">
        <f t="shared" si="11"/>
        <v>0</v>
      </c>
      <c r="G70" s="37">
        <f t="shared" si="10"/>
        <v>61.356800000000007</v>
      </c>
      <c r="H70" s="116">
        <v>44383</v>
      </c>
      <c r="I70" s="116" t="e">
        <f t="shared" si="15"/>
        <v>#REF!</v>
      </c>
      <c r="J70" s="233" t="e">
        <f t="shared" si="12"/>
        <v>#REF!</v>
      </c>
      <c r="K70" s="368">
        <v>8.3599999999999994E-2</v>
      </c>
      <c r="L70" s="385">
        <f t="shared" si="14"/>
        <v>0</v>
      </c>
    </row>
    <row r="71" spans="1:12" ht="16.5" customHeight="1" x14ac:dyDescent="0.25">
      <c r="A71" s="279">
        <v>5106</v>
      </c>
      <c r="B71" s="152">
        <v>1</v>
      </c>
      <c r="C71" s="153" t="s">
        <v>68</v>
      </c>
      <c r="D71" s="37">
        <v>2010.3</v>
      </c>
      <c r="E71" s="155">
        <f t="shared" si="13"/>
        <v>2010.3</v>
      </c>
      <c r="F71" s="37">
        <f t="shared" si="11"/>
        <v>0</v>
      </c>
      <c r="G71" s="37">
        <f t="shared" si="10"/>
        <v>160.82400000000001</v>
      </c>
      <c r="H71" s="116">
        <v>44386</v>
      </c>
      <c r="I71" s="116" t="e">
        <f t="shared" si="15"/>
        <v>#REF!</v>
      </c>
      <c r="J71" s="233" t="e">
        <f t="shared" si="12"/>
        <v>#REF!</v>
      </c>
      <c r="K71" s="368">
        <v>8.3599999999999994E-2</v>
      </c>
      <c r="L71" s="385">
        <f t="shared" si="14"/>
        <v>0</v>
      </c>
    </row>
    <row r="72" spans="1:12" ht="16.5" customHeight="1" x14ac:dyDescent="0.25">
      <c r="A72" s="279">
        <v>5145</v>
      </c>
      <c r="B72" s="152">
        <v>1</v>
      </c>
      <c r="C72" s="153" t="s">
        <v>109</v>
      </c>
      <c r="D72" s="37">
        <v>822.03</v>
      </c>
      <c r="E72" s="155">
        <f t="shared" si="13"/>
        <v>822.03</v>
      </c>
      <c r="F72" s="37">
        <f t="shared" si="11"/>
        <v>0</v>
      </c>
      <c r="G72" s="37">
        <f t="shared" si="10"/>
        <v>65.7624</v>
      </c>
      <c r="H72" s="116">
        <v>44383</v>
      </c>
      <c r="I72" s="116" t="e">
        <f t="shared" si="15"/>
        <v>#REF!</v>
      </c>
      <c r="J72" s="233" t="e">
        <f t="shared" si="12"/>
        <v>#REF!</v>
      </c>
      <c r="K72" s="368">
        <v>8.3599999999999994E-2</v>
      </c>
      <c r="L72" s="385">
        <f t="shared" si="14"/>
        <v>0</v>
      </c>
    </row>
    <row r="73" spans="1:12" ht="16.5" customHeight="1" x14ac:dyDescent="0.25">
      <c r="A73" s="279">
        <v>5134</v>
      </c>
      <c r="B73" s="152">
        <v>1</v>
      </c>
      <c r="C73" s="153" t="s">
        <v>69</v>
      </c>
      <c r="D73" s="37">
        <v>385.42</v>
      </c>
      <c r="E73" s="155">
        <f t="shared" si="13"/>
        <v>385.42</v>
      </c>
      <c r="F73" s="37">
        <f t="shared" si="11"/>
        <v>0</v>
      </c>
      <c r="G73" s="37">
        <f t="shared" si="10"/>
        <v>30.833600000000001</v>
      </c>
      <c r="H73" s="116">
        <v>44383</v>
      </c>
      <c r="I73" s="116" t="e">
        <f t="shared" si="15"/>
        <v>#REF!</v>
      </c>
      <c r="J73" s="233" t="e">
        <f t="shared" si="12"/>
        <v>#REF!</v>
      </c>
      <c r="K73" s="368">
        <v>8.3599999999999994E-2</v>
      </c>
      <c r="L73" s="385">
        <f t="shared" si="14"/>
        <v>0</v>
      </c>
    </row>
    <row r="74" spans="1:12" ht="16.5" customHeight="1" x14ac:dyDescent="0.25">
      <c r="A74" s="279">
        <v>5083</v>
      </c>
      <c r="B74" s="152">
        <v>1</v>
      </c>
      <c r="C74" s="153" t="s">
        <v>71</v>
      </c>
      <c r="D74" s="37">
        <v>2.85</v>
      </c>
      <c r="E74" s="155">
        <f t="shared" si="13"/>
        <v>2.85</v>
      </c>
      <c r="F74" s="37">
        <f t="shared" si="11"/>
        <v>0</v>
      </c>
      <c r="G74" s="37">
        <f t="shared" si="10"/>
        <v>0.22800000000000001</v>
      </c>
      <c r="H74" s="40">
        <v>44383</v>
      </c>
      <c r="I74" s="116" t="e">
        <f>#REF!</f>
        <v>#REF!</v>
      </c>
      <c r="J74" s="233" t="e">
        <f t="shared" si="12"/>
        <v>#REF!</v>
      </c>
      <c r="K74" s="368">
        <v>8.3599999999999994E-2</v>
      </c>
      <c r="L74" s="385">
        <f t="shared" si="14"/>
        <v>0</v>
      </c>
    </row>
    <row r="75" spans="1:12" ht="16.5" customHeight="1" x14ac:dyDescent="0.25">
      <c r="A75" s="279">
        <v>4285</v>
      </c>
      <c r="B75" s="152">
        <v>1</v>
      </c>
      <c r="C75" s="153" t="s">
        <v>72</v>
      </c>
      <c r="D75" s="37">
        <v>106.41</v>
      </c>
      <c r="E75" s="155">
        <f t="shared" si="13"/>
        <v>106.41</v>
      </c>
      <c r="F75" s="37">
        <f t="shared" si="11"/>
        <v>0</v>
      </c>
      <c r="G75" s="37">
        <f t="shared" si="10"/>
        <v>8.5128000000000004</v>
      </c>
      <c r="H75" s="40">
        <v>44383</v>
      </c>
      <c r="I75" s="116" t="e">
        <f t="shared" si="15"/>
        <v>#REF!</v>
      </c>
      <c r="J75" s="233" t="e">
        <f t="shared" si="12"/>
        <v>#REF!</v>
      </c>
      <c r="K75" s="368">
        <v>8.3599999999999994E-2</v>
      </c>
      <c r="L75" s="385">
        <f t="shared" si="14"/>
        <v>0</v>
      </c>
    </row>
    <row r="76" spans="1:12" ht="16.5" customHeight="1" x14ac:dyDescent="0.25">
      <c r="A76" s="281">
        <v>5121</v>
      </c>
      <c r="B76" s="152">
        <v>1</v>
      </c>
      <c r="C76" s="153" t="s">
        <v>73</v>
      </c>
      <c r="D76" s="37">
        <v>740.1</v>
      </c>
      <c r="E76" s="155">
        <f t="shared" si="13"/>
        <v>740.1</v>
      </c>
      <c r="F76" s="37">
        <f t="shared" si="11"/>
        <v>0</v>
      </c>
      <c r="G76" s="37">
        <f t="shared" si="10"/>
        <v>59.208000000000006</v>
      </c>
      <c r="H76" s="40">
        <v>44383</v>
      </c>
      <c r="I76" s="116" t="e">
        <f t="shared" si="15"/>
        <v>#REF!</v>
      </c>
      <c r="J76" s="233" t="e">
        <f t="shared" si="12"/>
        <v>#REF!</v>
      </c>
      <c r="K76" s="368">
        <v>8.3599999999999994E-2</v>
      </c>
      <c r="L76" s="385">
        <f t="shared" si="14"/>
        <v>0</v>
      </c>
    </row>
    <row r="77" spans="1:12" ht="16.5" customHeight="1" x14ac:dyDescent="0.25">
      <c r="A77" s="279">
        <v>5074</v>
      </c>
      <c r="B77" s="152">
        <v>1</v>
      </c>
      <c r="C77" s="153" t="s">
        <v>74</v>
      </c>
      <c r="D77" s="37">
        <v>3498.01</v>
      </c>
      <c r="E77" s="155">
        <f t="shared" si="13"/>
        <v>3498.01</v>
      </c>
      <c r="F77" s="37">
        <f t="shared" si="11"/>
        <v>0</v>
      </c>
      <c r="G77" s="37">
        <f t="shared" si="10"/>
        <v>279.8408</v>
      </c>
      <c r="H77" s="40">
        <v>44389</v>
      </c>
      <c r="I77" s="116" t="e">
        <f t="shared" si="15"/>
        <v>#REF!</v>
      </c>
      <c r="J77" s="233" t="e">
        <f t="shared" si="12"/>
        <v>#REF!</v>
      </c>
      <c r="K77" s="368">
        <v>8.3599999999999994E-2</v>
      </c>
      <c r="L77" s="385">
        <f t="shared" si="14"/>
        <v>0</v>
      </c>
    </row>
    <row r="78" spans="1:12" ht="16.5" customHeight="1" x14ac:dyDescent="0.25">
      <c r="A78" s="279">
        <v>5153</v>
      </c>
      <c r="B78" s="152">
        <v>1</v>
      </c>
      <c r="C78" s="153" t="s">
        <v>110</v>
      </c>
      <c r="D78" s="37">
        <v>873.3</v>
      </c>
      <c r="E78" s="155">
        <f t="shared" si="13"/>
        <v>873.3</v>
      </c>
      <c r="F78" s="37">
        <f t="shared" si="11"/>
        <v>0</v>
      </c>
      <c r="G78" s="37">
        <f t="shared" si="10"/>
        <v>69.864000000000004</v>
      </c>
      <c r="H78" s="40">
        <v>44383</v>
      </c>
      <c r="I78" s="116" t="e">
        <f t="shared" si="15"/>
        <v>#REF!</v>
      </c>
      <c r="J78" s="233" t="e">
        <f t="shared" si="12"/>
        <v>#REF!</v>
      </c>
      <c r="K78" s="368">
        <v>8.3599999999999994E-2</v>
      </c>
      <c r="L78" s="385">
        <f t="shared" si="14"/>
        <v>0</v>
      </c>
    </row>
    <row r="79" spans="1:12" ht="16.5" customHeight="1" x14ac:dyDescent="0.25">
      <c r="A79" s="279">
        <v>5007</v>
      </c>
      <c r="B79" s="152">
        <v>1</v>
      </c>
      <c r="C79" s="153" t="s">
        <v>10</v>
      </c>
      <c r="D79" s="37">
        <v>6.83</v>
      </c>
      <c r="E79" s="155">
        <f t="shared" si="13"/>
        <v>6.83</v>
      </c>
      <c r="F79" s="37">
        <f t="shared" si="11"/>
        <v>0</v>
      </c>
      <c r="G79" s="37">
        <f t="shared" si="10"/>
        <v>0.5464</v>
      </c>
      <c r="H79" s="40">
        <v>44383</v>
      </c>
      <c r="I79" s="116" t="e">
        <f t="shared" si="15"/>
        <v>#REF!</v>
      </c>
      <c r="J79" s="233" t="e">
        <f t="shared" si="12"/>
        <v>#REF!</v>
      </c>
      <c r="K79" s="368">
        <v>8.3599999999999994E-2</v>
      </c>
      <c r="L79" s="385">
        <f t="shared" si="14"/>
        <v>0</v>
      </c>
    </row>
    <row r="80" spans="1:12" ht="16.5" customHeight="1" x14ac:dyDescent="0.25">
      <c r="A80" s="279">
        <v>5100</v>
      </c>
      <c r="B80" s="152">
        <v>1</v>
      </c>
      <c r="C80" s="153" t="s">
        <v>77</v>
      </c>
      <c r="D80" s="37">
        <v>1775.94</v>
      </c>
      <c r="E80" s="155">
        <f t="shared" si="13"/>
        <v>1775.94</v>
      </c>
      <c r="F80" s="37">
        <f t="shared" si="11"/>
        <v>0</v>
      </c>
      <c r="G80" s="37">
        <f t="shared" si="10"/>
        <v>142.0752</v>
      </c>
      <c r="H80" s="40">
        <v>44384</v>
      </c>
      <c r="I80" s="116" t="e">
        <f t="shared" si="15"/>
        <v>#REF!</v>
      </c>
      <c r="J80" s="233" t="e">
        <f t="shared" si="12"/>
        <v>#REF!</v>
      </c>
      <c r="K80" s="368">
        <v>8.3599999999999994E-2</v>
      </c>
      <c r="L80" s="385">
        <f t="shared" si="14"/>
        <v>0</v>
      </c>
    </row>
    <row r="81" spans="1:12" ht="16.5" customHeight="1" x14ac:dyDescent="0.25">
      <c r="A81" s="279">
        <v>5084</v>
      </c>
      <c r="B81" s="152">
        <v>1</v>
      </c>
      <c r="C81" s="153" t="s">
        <v>78</v>
      </c>
      <c r="D81" s="37">
        <v>1153.8800000000001</v>
      </c>
      <c r="E81" s="155">
        <f t="shared" si="13"/>
        <v>1153.8800000000001</v>
      </c>
      <c r="F81" s="37">
        <f t="shared" si="11"/>
        <v>0</v>
      </c>
      <c r="G81" s="37">
        <f t="shared" si="10"/>
        <v>92.310400000000016</v>
      </c>
      <c r="H81" s="40">
        <v>44384</v>
      </c>
      <c r="I81" s="116" t="e">
        <f t="shared" si="15"/>
        <v>#REF!</v>
      </c>
      <c r="J81" s="233" t="e">
        <f t="shared" si="12"/>
        <v>#REF!</v>
      </c>
      <c r="K81" s="368">
        <v>8.3599999999999994E-2</v>
      </c>
      <c r="L81" s="385">
        <f t="shared" si="14"/>
        <v>0</v>
      </c>
    </row>
    <row r="82" spans="1:12" ht="16.5" customHeight="1" x14ac:dyDescent="0.25">
      <c r="A82" s="279">
        <v>5142</v>
      </c>
      <c r="B82" s="152">
        <v>1</v>
      </c>
      <c r="C82" s="153" t="s">
        <v>79</v>
      </c>
      <c r="D82" s="37">
        <v>770.84</v>
      </c>
      <c r="E82" s="155">
        <f t="shared" si="13"/>
        <v>770.84</v>
      </c>
      <c r="F82" s="37">
        <f t="shared" si="11"/>
        <v>0</v>
      </c>
      <c r="G82" s="37">
        <f t="shared" si="10"/>
        <v>61.667200000000001</v>
      </c>
      <c r="H82" s="40">
        <v>44383</v>
      </c>
      <c r="I82" s="116" t="e">
        <f t="shared" si="15"/>
        <v>#REF!</v>
      </c>
      <c r="J82" s="233" t="e">
        <f t="shared" si="12"/>
        <v>#REF!</v>
      </c>
      <c r="K82" s="368">
        <v>8.3599999999999994E-2</v>
      </c>
      <c r="L82" s="385">
        <f t="shared" si="14"/>
        <v>0</v>
      </c>
    </row>
    <row r="83" spans="1:12" ht="16.5" customHeight="1" x14ac:dyDescent="0.25">
      <c r="A83" s="279">
        <v>5155</v>
      </c>
      <c r="B83" s="152">
        <v>1</v>
      </c>
      <c r="C83" s="153" t="s">
        <v>111</v>
      </c>
      <c r="D83" s="37">
        <v>770.76</v>
      </c>
      <c r="E83" s="155">
        <f t="shared" si="13"/>
        <v>770.76</v>
      </c>
      <c r="F83" s="37">
        <f t="shared" si="11"/>
        <v>0</v>
      </c>
      <c r="G83" s="37">
        <f t="shared" si="10"/>
        <v>61.660800000000002</v>
      </c>
      <c r="H83" s="40">
        <v>44383</v>
      </c>
      <c r="I83" s="116" t="e">
        <f t="shared" si="15"/>
        <v>#REF!</v>
      </c>
      <c r="J83" s="233" t="e">
        <f t="shared" si="12"/>
        <v>#REF!</v>
      </c>
      <c r="K83" s="368">
        <v>8.3599999999999994E-2</v>
      </c>
      <c r="L83" s="385">
        <f t="shared" si="14"/>
        <v>0</v>
      </c>
    </row>
    <row r="84" spans="1:12" ht="16.5" customHeight="1" x14ac:dyDescent="0.25">
      <c r="A84" s="279">
        <v>5082</v>
      </c>
      <c r="B84" s="152">
        <v>1</v>
      </c>
      <c r="C84" s="153" t="s">
        <v>80</v>
      </c>
      <c r="D84" s="37">
        <v>1984.94</v>
      </c>
      <c r="E84" s="155">
        <f t="shared" si="13"/>
        <v>1984.94</v>
      </c>
      <c r="F84" s="37">
        <f t="shared" si="11"/>
        <v>0</v>
      </c>
      <c r="G84" s="37">
        <f t="shared" si="10"/>
        <v>158.79519999999999</v>
      </c>
      <c r="H84" s="40">
        <v>44383</v>
      </c>
      <c r="I84" s="116" t="e">
        <f t="shared" si="15"/>
        <v>#REF!</v>
      </c>
      <c r="J84" s="233" t="e">
        <f t="shared" si="12"/>
        <v>#REF!</v>
      </c>
      <c r="K84" s="368">
        <v>8.3599999999999994E-2</v>
      </c>
      <c r="L84" s="385">
        <f t="shared" si="14"/>
        <v>0</v>
      </c>
    </row>
    <row r="85" spans="1:12" ht="16.5" customHeight="1" x14ac:dyDescent="0.25">
      <c r="A85" s="279">
        <v>5130</v>
      </c>
      <c r="B85" s="152">
        <v>1</v>
      </c>
      <c r="C85" s="153" t="s">
        <v>81</v>
      </c>
      <c r="D85" s="37">
        <v>1190.98</v>
      </c>
      <c r="E85" s="155">
        <f t="shared" si="13"/>
        <v>1190.98</v>
      </c>
      <c r="F85" s="37">
        <f t="shared" si="11"/>
        <v>0</v>
      </c>
      <c r="G85" s="37">
        <f t="shared" si="10"/>
        <v>95.278400000000005</v>
      </c>
      <c r="H85" s="40">
        <v>44384</v>
      </c>
      <c r="I85" s="116" t="e">
        <f t="shared" si="15"/>
        <v>#REF!</v>
      </c>
      <c r="J85" s="233" t="e">
        <f t="shared" si="12"/>
        <v>#REF!</v>
      </c>
      <c r="K85" s="368">
        <v>8.3599999999999994E-2</v>
      </c>
      <c r="L85" s="385">
        <f t="shared" si="14"/>
        <v>0</v>
      </c>
    </row>
    <row r="86" spans="1:12" ht="16.5" customHeight="1" x14ac:dyDescent="0.25">
      <c r="A86" s="279">
        <v>5095</v>
      </c>
      <c r="B86" s="152">
        <v>1</v>
      </c>
      <c r="C86" s="153" t="s">
        <v>82</v>
      </c>
      <c r="D86" s="37">
        <v>1533.01</v>
      </c>
      <c r="E86" s="155">
        <f t="shared" si="13"/>
        <v>1533.01</v>
      </c>
      <c r="F86" s="37">
        <f t="shared" si="11"/>
        <v>0</v>
      </c>
      <c r="G86" s="37">
        <f t="shared" si="10"/>
        <v>122.6408</v>
      </c>
      <c r="H86" s="40">
        <v>44384</v>
      </c>
      <c r="I86" s="116" t="e">
        <f t="shared" si="15"/>
        <v>#REF!</v>
      </c>
      <c r="J86" s="233" t="e">
        <f t="shared" si="12"/>
        <v>#REF!</v>
      </c>
      <c r="K86" s="368">
        <v>8.3599999999999994E-2</v>
      </c>
      <c r="L86" s="385">
        <f t="shared" si="14"/>
        <v>0</v>
      </c>
    </row>
    <row r="87" spans="1:12" ht="16.5" customHeight="1" x14ac:dyDescent="0.25">
      <c r="A87" s="279">
        <v>4345</v>
      </c>
      <c r="B87" s="152">
        <v>1</v>
      </c>
      <c r="C87" s="153" t="s">
        <v>112</v>
      </c>
      <c r="D87" s="37">
        <v>6.01</v>
      </c>
      <c r="E87" s="155">
        <f t="shared" si="13"/>
        <v>6.01</v>
      </c>
      <c r="F87" s="193">
        <f t="shared" si="11"/>
        <v>0</v>
      </c>
      <c r="G87" s="37">
        <f t="shared" si="10"/>
        <v>0.48080000000000001</v>
      </c>
      <c r="H87" s="40">
        <v>44383</v>
      </c>
      <c r="I87" s="116" t="e">
        <f t="shared" si="15"/>
        <v>#REF!</v>
      </c>
      <c r="J87" s="233" t="e">
        <f t="shared" si="12"/>
        <v>#REF!</v>
      </c>
      <c r="K87" s="368">
        <v>8.3599999999999994E-2</v>
      </c>
      <c r="L87" s="385">
        <f t="shared" si="14"/>
        <v>0</v>
      </c>
    </row>
    <row r="88" spans="1:12" ht="16.5" customHeight="1" x14ac:dyDescent="0.25">
      <c r="A88" s="279">
        <v>4945</v>
      </c>
      <c r="B88" s="152">
        <v>1</v>
      </c>
      <c r="C88" s="153" t="s">
        <v>84</v>
      </c>
      <c r="D88" s="37">
        <v>51.8</v>
      </c>
      <c r="E88" s="155">
        <f t="shared" si="13"/>
        <v>51.8</v>
      </c>
      <c r="F88" s="37">
        <f t="shared" si="11"/>
        <v>0</v>
      </c>
      <c r="G88" s="37">
        <f t="shared" si="10"/>
        <v>4.1440000000000001</v>
      </c>
      <c r="H88" s="40">
        <v>44383</v>
      </c>
      <c r="I88" s="116" t="e">
        <f>#REF!</f>
        <v>#REF!</v>
      </c>
      <c r="J88" s="233" t="e">
        <f t="shared" si="12"/>
        <v>#REF!</v>
      </c>
      <c r="K88" s="368">
        <v>8.3599999999999994E-2</v>
      </c>
      <c r="L88" s="385">
        <f t="shared" si="14"/>
        <v>0</v>
      </c>
    </row>
    <row r="89" spans="1:12" ht="16.5" customHeight="1" x14ac:dyDescent="0.25">
      <c r="A89" s="279">
        <v>663</v>
      </c>
      <c r="B89" s="152">
        <v>1</v>
      </c>
      <c r="C89" s="153" t="s">
        <v>85</v>
      </c>
      <c r="D89" s="37">
        <v>6.31</v>
      </c>
      <c r="E89" s="155">
        <f t="shared" si="13"/>
        <v>6.31</v>
      </c>
      <c r="F89" s="37">
        <f t="shared" si="11"/>
        <v>0</v>
      </c>
      <c r="G89" s="37">
        <f t="shared" si="10"/>
        <v>0.50480000000000003</v>
      </c>
      <c r="H89" s="40">
        <v>44383</v>
      </c>
      <c r="I89" s="116" t="e">
        <f t="shared" si="15"/>
        <v>#REF!</v>
      </c>
      <c r="J89" s="233" t="e">
        <f t="shared" si="12"/>
        <v>#REF!</v>
      </c>
      <c r="K89" s="368">
        <v>8.3599999999999994E-2</v>
      </c>
      <c r="L89" s="385">
        <f t="shared" si="14"/>
        <v>0</v>
      </c>
    </row>
    <row r="90" spans="1:12" ht="16.5" customHeight="1" x14ac:dyDescent="0.25">
      <c r="A90" s="279">
        <v>4783</v>
      </c>
      <c r="B90" s="152">
        <v>1</v>
      </c>
      <c r="C90" s="153" t="s">
        <v>87</v>
      </c>
      <c r="D90" s="37">
        <v>0.72</v>
      </c>
      <c r="E90" s="155">
        <f t="shared" si="13"/>
        <v>0.72</v>
      </c>
      <c r="F90" s="37">
        <f t="shared" si="11"/>
        <v>0</v>
      </c>
      <c r="G90" s="37">
        <f t="shared" si="10"/>
        <v>5.7599999999999998E-2</v>
      </c>
      <c r="H90" s="40">
        <v>44383</v>
      </c>
      <c r="I90" s="116" t="e">
        <f>#REF!</f>
        <v>#REF!</v>
      </c>
      <c r="J90" s="233" t="e">
        <f t="shared" si="12"/>
        <v>#REF!</v>
      </c>
      <c r="K90" s="368">
        <v>8.3599999999999994E-2</v>
      </c>
      <c r="L90" s="385">
        <f t="shared" si="14"/>
        <v>0</v>
      </c>
    </row>
    <row r="91" spans="1:12" ht="16.5" customHeight="1" x14ac:dyDescent="0.25">
      <c r="A91" s="279">
        <v>4535</v>
      </c>
      <c r="B91" s="152">
        <v>1</v>
      </c>
      <c r="C91" s="153" t="s">
        <v>88</v>
      </c>
      <c r="D91" s="37">
        <v>102.54</v>
      </c>
      <c r="E91" s="155">
        <f t="shared" si="13"/>
        <v>102.54</v>
      </c>
      <c r="F91" s="37">
        <f t="shared" si="11"/>
        <v>0</v>
      </c>
      <c r="G91" s="37">
        <f t="shared" si="10"/>
        <v>8.2032000000000007</v>
      </c>
      <c r="H91" s="40">
        <v>44383</v>
      </c>
      <c r="I91" s="116" t="e">
        <f t="shared" si="15"/>
        <v>#REF!</v>
      </c>
      <c r="J91" s="233" t="e">
        <f t="shared" si="12"/>
        <v>#REF!</v>
      </c>
      <c r="K91" s="368">
        <v>8.3599999999999994E-2</v>
      </c>
      <c r="L91" s="385">
        <f t="shared" si="14"/>
        <v>0</v>
      </c>
    </row>
    <row r="92" spans="1:12" ht="16.5" customHeight="1" x14ac:dyDescent="0.25">
      <c r="A92" s="279">
        <v>4594</v>
      </c>
      <c r="B92" s="152">
        <v>1</v>
      </c>
      <c r="C92" s="153" t="s">
        <v>89</v>
      </c>
      <c r="D92" s="37">
        <v>54.37</v>
      </c>
      <c r="E92" s="155">
        <f t="shared" si="13"/>
        <v>54.37</v>
      </c>
      <c r="F92" s="37">
        <f t="shared" si="11"/>
        <v>0</v>
      </c>
      <c r="G92" s="37">
        <f t="shared" si="10"/>
        <v>4.3495999999999997</v>
      </c>
      <c r="H92" s="40">
        <v>44383</v>
      </c>
      <c r="I92" s="116" t="e">
        <f t="shared" si="15"/>
        <v>#REF!</v>
      </c>
      <c r="J92" s="233" t="e">
        <f t="shared" si="12"/>
        <v>#REF!</v>
      </c>
      <c r="K92" s="368">
        <v>8.3599999999999994E-2</v>
      </c>
      <c r="L92" s="385">
        <f t="shared" si="14"/>
        <v>0</v>
      </c>
    </row>
    <row r="93" spans="1:12" ht="16.5" customHeight="1" x14ac:dyDescent="0.25">
      <c r="A93" s="279">
        <v>5151</v>
      </c>
      <c r="B93" s="152">
        <v>1</v>
      </c>
      <c r="C93" s="153" t="s">
        <v>113</v>
      </c>
      <c r="D93" s="37">
        <v>770.76</v>
      </c>
      <c r="E93" s="155">
        <f t="shared" si="13"/>
        <v>770.76</v>
      </c>
      <c r="F93" s="37">
        <f t="shared" si="11"/>
        <v>0</v>
      </c>
      <c r="G93" s="37">
        <f t="shared" si="10"/>
        <v>61.660800000000002</v>
      </c>
      <c r="H93" s="40">
        <v>44383</v>
      </c>
      <c r="I93" s="116" t="e">
        <f t="shared" si="15"/>
        <v>#REF!</v>
      </c>
      <c r="J93" s="233" t="e">
        <f t="shared" si="12"/>
        <v>#REF!</v>
      </c>
      <c r="K93" s="368">
        <v>8.3599999999999994E-2</v>
      </c>
      <c r="L93" s="385">
        <f t="shared" si="14"/>
        <v>0</v>
      </c>
    </row>
    <row r="94" spans="1:12" ht="16.5" customHeight="1" x14ac:dyDescent="0.25">
      <c r="A94" s="279">
        <v>710</v>
      </c>
      <c r="B94" s="152">
        <v>1</v>
      </c>
      <c r="C94" s="153" t="s">
        <v>90</v>
      </c>
      <c r="D94" s="37">
        <v>6.65</v>
      </c>
      <c r="E94" s="155">
        <f t="shared" si="13"/>
        <v>6.65</v>
      </c>
      <c r="F94" s="37">
        <f t="shared" si="11"/>
        <v>0</v>
      </c>
      <c r="G94" s="37">
        <f t="shared" si="10"/>
        <v>0.53200000000000003</v>
      </c>
      <c r="H94" s="40">
        <v>44383</v>
      </c>
      <c r="I94" s="116" t="e">
        <f t="shared" si="15"/>
        <v>#REF!</v>
      </c>
      <c r="J94" s="233" t="e">
        <f t="shared" si="12"/>
        <v>#REF!</v>
      </c>
      <c r="K94" s="368">
        <v>8.3599999999999994E-2</v>
      </c>
      <c r="L94" s="385">
        <f t="shared" si="14"/>
        <v>0</v>
      </c>
    </row>
    <row r="95" spans="1:12" ht="16.5" customHeight="1" x14ac:dyDescent="0.25">
      <c r="A95" s="279">
        <v>4976</v>
      </c>
      <c r="B95" s="152">
        <v>1</v>
      </c>
      <c r="C95" s="153" t="s">
        <v>91</v>
      </c>
      <c r="D95" s="37">
        <v>2.97</v>
      </c>
      <c r="E95" s="155">
        <f t="shared" si="13"/>
        <v>2.97</v>
      </c>
      <c r="F95" s="37">
        <f t="shared" si="11"/>
        <v>0</v>
      </c>
      <c r="G95" s="37">
        <f t="shared" si="10"/>
        <v>0.23760000000000003</v>
      </c>
      <c r="H95" s="40">
        <v>44383</v>
      </c>
      <c r="I95" s="116" t="e">
        <f t="shared" si="15"/>
        <v>#REF!</v>
      </c>
      <c r="J95" s="233" t="e">
        <f t="shared" si="12"/>
        <v>#REF!</v>
      </c>
      <c r="K95" s="368">
        <v>8.3599999999999994E-2</v>
      </c>
      <c r="L95" s="385">
        <f t="shared" si="14"/>
        <v>0</v>
      </c>
    </row>
    <row r="96" spans="1:12" ht="16.5" customHeight="1" x14ac:dyDescent="0.25">
      <c r="A96" s="279">
        <v>4935</v>
      </c>
      <c r="B96" s="152">
        <v>1</v>
      </c>
      <c r="C96" s="153" t="s">
        <v>93</v>
      </c>
      <c r="D96" s="37">
        <v>51.27</v>
      </c>
      <c r="E96" s="155">
        <f t="shared" si="13"/>
        <v>51.27</v>
      </c>
      <c r="F96" s="37">
        <f t="shared" si="11"/>
        <v>0</v>
      </c>
      <c r="G96" s="37">
        <f t="shared" ref="G96:G104" si="16">D96*8%</f>
        <v>4.1016000000000004</v>
      </c>
      <c r="H96" s="40">
        <v>44383</v>
      </c>
      <c r="I96" s="116" t="e">
        <f>#REF!</f>
        <v>#REF!</v>
      </c>
      <c r="J96" s="233" t="e">
        <f t="shared" si="12"/>
        <v>#REF!</v>
      </c>
      <c r="K96" s="368">
        <v>8.3599999999999994E-2</v>
      </c>
      <c r="L96" s="385">
        <f t="shared" ref="L96:L104" si="17">SUM(F96)*K96</f>
        <v>0</v>
      </c>
    </row>
    <row r="97" spans="1:12" ht="16.5" customHeight="1" x14ac:dyDescent="0.25">
      <c r="A97" s="279">
        <v>5096</v>
      </c>
      <c r="B97" s="152">
        <v>1</v>
      </c>
      <c r="C97" s="153" t="s">
        <v>94</v>
      </c>
      <c r="D97" s="37">
        <v>2738.71</v>
      </c>
      <c r="E97" s="155">
        <f t="shared" si="13"/>
        <v>2738.71</v>
      </c>
      <c r="F97" s="37">
        <f t="shared" si="11"/>
        <v>0</v>
      </c>
      <c r="G97" s="37">
        <f t="shared" si="16"/>
        <v>219.0968</v>
      </c>
      <c r="H97" s="40">
        <v>44386</v>
      </c>
      <c r="I97" s="116" t="e">
        <f t="shared" si="15"/>
        <v>#REF!</v>
      </c>
      <c r="J97" s="233" t="e">
        <f t="shared" si="12"/>
        <v>#REF!</v>
      </c>
      <c r="K97" s="368">
        <v>8.3599999999999994E-2</v>
      </c>
      <c r="L97" s="385">
        <f t="shared" si="17"/>
        <v>0</v>
      </c>
    </row>
    <row r="98" spans="1:12" ht="16.5" customHeight="1" x14ac:dyDescent="0.25">
      <c r="A98" s="279">
        <v>5081</v>
      </c>
      <c r="B98" s="152">
        <v>1</v>
      </c>
      <c r="C98" s="153" t="s">
        <v>95</v>
      </c>
      <c r="D98" s="37">
        <v>1775.94</v>
      </c>
      <c r="E98" s="155">
        <f t="shared" si="13"/>
        <v>1775.94</v>
      </c>
      <c r="F98" s="37">
        <f t="shared" si="11"/>
        <v>0</v>
      </c>
      <c r="G98" s="37">
        <f t="shared" si="16"/>
        <v>142.0752</v>
      </c>
      <c r="H98" s="40">
        <v>44393</v>
      </c>
      <c r="I98" s="116" t="e">
        <f t="shared" si="15"/>
        <v>#REF!</v>
      </c>
      <c r="J98" s="233" t="e">
        <f t="shared" si="12"/>
        <v>#REF!</v>
      </c>
      <c r="K98" s="368">
        <v>8.3599999999999994E-2</v>
      </c>
      <c r="L98" s="385">
        <f t="shared" si="17"/>
        <v>0</v>
      </c>
    </row>
    <row r="99" spans="1:12" ht="16.5" customHeight="1" x14ac:dyDescent="0.25">
      <c r="A99" s="279">
        <v>2003</v>
      </c>
      <c r="B99" s="152">
        <v>1</v>
      </c>
      <c r="C99" s="154" t="s">
        <v>15</v>
      </c>
      <c r="D99" s="37">
        <v>5.62</v>
      </c>
      <c r="E99" s="155">
        <f>ROUND(D99*B99,2)</f>
        <v>5.62</v>
      </c>
      <c r="F99" s="37">
        <f>D99-E99</f>
        <v>0</v>
      </c>
      <c r="G99" s="37">
        <f t="shared" si="16"/>
        <v>0.4496</v>
      </c>
      <c r="H99" s="40">
        <v>44383</v>
      </c>
      <c r="I99" s="116" t="e">
        <f t="shared" si="15"/>
        <v>#REF!</v>
      </c>
      <c r="J99" s="233" t="e">
        <f t="shared" si="12"/>
        <v>#REF!</v>
      </c>
      <c r="K99" s="368">
        <v>8.3599999999999994E-2</v>
      </c>
      <c r="L99" s="385">
        <f t="shared" si="17"/>
        <v>0</v>
      </c>
    </row>
    <row r="100" spans="1:12" ht="16.5" customHeight="1" x14ac:dyDescent="0.25">
      <c r="A100" s="279">
        <v>4862</v>
      </c>
      <c r="B100" s="152">
        <v>1</v>
      </c>
      <c r="C100" s="153" t="s">
        <v>96</v>
      </c>
      <c r="D100" s="37">
        <v>0.53</v>
      </c>
      <c r="E100" s="155">
        <f t="shared" si="13"/>
        <v>0.53</v>
      </c>
      <c r="F100" s="37">
        <f t="shared" si="11"/>
        <v>0</v>
      </c>
      <c r="G100" s="37">
        <f t="shared" si="16"/>
        <v>4.24E-2</v>
      </c>
      <c r="H100" s="40">
        <v>44383</v>
      </c>
      <c r="I100" s="116" t="e">
        <f t="shared" si="15"/>
        <v>#REF!</v>
      </c>
      <c r="J100" s="233" t="e">
        <f t="shared" si="12"/>
        <v>#REF!</v>
      </c>
      <c r="K100" s="368">
        <v>8.3599999999999994E-2</v>
      </c>
      <c r="L100" s="385">
        <f t="shared" si="17"/>
        <v>0</v>
      </c>
    </row>
    <row r="101" spans="1:12" ht="16.5" customHeight="1" x14ac:dyDescent="0.25">
      <c r="A101" s="279">
        <v>5011</v>
      </c>
      <c r="B101" s="152">
        <v>1</v>
      </c>
      <c r="C101" s="153" t="s">
        <v>98</v>
      </c>
      <c r="D101" s="37">
        <v>2332.56</v>
      </c>
      <c r="E101" s="155">
        <v>0</v>
      </c>
      <c r="F101" s="37">
        <f>D101</f>
        <v>2332.56</v>
      </c>
      <c r="G101" s="37">
        <f t="shared" si="16"/>
        <v>186.60480000000001</v>
      </c>
      <c r="H101" s="40"/>
      <c r="I101" s="116" t="e">
        <f>#REF!</f>
        <v>#REF!</v>
      </c>
      <c r="J101" s="233">
        <v>0</v>
      </c>
      <c r="K101" s="368">
        <v>8.3599999999999994E-2</v>
      </c>
      <c r="L101" s="385">
        <f t="shared" si="17"/>
        <v>195.00201599999997</v>
      </c>
    </row>
    <row r="102" spans="1:12" ht="16.5" customHeight="1" x14ac:dyDescent="0.25">
      <c r="A102" s="279">
        <v>5098</v>
      </c>
      <c r="B102" s="152">
        <v>1</v>
      </c>
      <c r="C102" s="153" t="s">
        <v>99</v>
      </c>
      <c r="D102" s="37">
        <v>1775.94</v>
      </c>
      <c r="E102" s="155">
        <f t="shared" si="13"/>
        <v>1775.94</v>
      </c>
      <c r="F102" s="37">
        <f t="shared" si="11"/>
        <v>0</v>
      </c>
      <c r="G102" s="37">
        <f t="shared" si="16"/>
        <v>142.0752</v>
      </c>
      <c r="H102" s="40">
        <v>44386</v>
      </c>
      <c r="I102" s="116" t="e">
        <f t="shared" si="15"/>
        <v>#REF!</v>
      </c>
      <c r="J102" s="233" t="e">
        <f t="shared" si="12"/>
        <v>#REF!</v>
      </c>
      <c r="K102" s="368">
        <v>8.3599999999999994E-2</v>
      </c>
      <c r="L102" s="385">
        <f t="shared" si="17"/>
        <v>0</v>
      </c>
    </row>
    <row r="103" spans="1:12" ht="16.5" customHeight="1" x14ac:dyDescent="0.25">
      <c r="A103" s="279">
        <v>5060</v>
      </c>
      <c r="B103" s="152">
        <v>1</v>
      </c>
      <c r="C103" s="153" t="s">
        <v>100</v>
      </c>
      <c r="D103" s="37">
        <v>1494.29</v>
      </c>
      <c r="E103" s="155">
        <f t="shared" si="13"/>
        <v>1494.29</v>
      </c>
      <c r="F103" s="37">
        <f t="shared" si="11"/>
        <v>0</v>
      </c>
      <c r="G103" s="37">
        <f t="shared" si="16"/>
        <v>119.5432</v>
      </c>
      <c r="H103" s="40">
        <v>44386</v>
      </c>
      <c r="I103" s="116" t="e">
        <f t="shared" si="15"/>
        <v>#REF!</v>
      </c>
      <c r="J103" s="233" t="e">
        <f t="shared" si="12"/>
        <v>#REF!</v>
      </c>
      <c r="K103" s="368">
        <v>8.3599999999999994E-2</v>
      </c>
      <c r="L103" s="385">
        <f t="shared" si="17"/>
        <v>0</v>
      </c>
    </row>
    <row r="104" spans="1:12" ht="16.5" customHeight="1" x14ac:dyDescent="0.25">
      <c r="A104" s="279">
        <v>4999</v>
      </c>
      <c r="B104" s="152">
        <v>1</v>
      </c>
      <c r="C104" s="153" t="s">
        <v>101</v>
      </c>
      <c r="D104" s="37">
        <v>2.84</v>
      </c>
      <c r="E104" s="155">
        <f t="shared" si="13"/>
        <v>2.84</v>
      </c>
      <c r="F104" s="37">
        <f t="shared" si="11"/>
        <v>0</v>
      </c>
      <c r="G104" s="37">
        <f t="shared" si="16"/>
        <v>0.22719999999999999</v>
      </c>
      <c r="H104" s="40">
        <v>44383</v>
      </c>
      <c r="I104" s="116" t="e">
        <f t="shared" si="15"/>
        <v>#REF!</v>
      </c>
      <c r="J104" s="233" t="e">
        <f t="shared" si="12"/>
        <v>#REF!</v>
      </c>
      <c r="K104" s="368">
        <v>8.3599999999999994E-2</v>
      </c>
      <c r="L104" s="385">
        <f t="shared" si="17"/>
        <v>0</v>
      </c>
    </row>
    <row r="105" spans="1:12" ht="16.5" customHeight="1" x14ac:dyDescent="0.25">
      <c r="A105" s="279"/>
      <c r="B105" s="199"/>
      <c r="C105" s="46" t="s">
        <v>162</v>
      </c>
      <c r="D105" s="46">
        <f>SUM(D36:D104)</f>
        <v>49091.640000000007</v>
      </c>
      <c r="E105" s="46">
        <f>SUBTOTAL(9,E36:E104)</f>
        <v>46759.080000000009</v>
      </c>
      <c r="F105" s="46">
        <f>SUM(F36:F104)</f>
        <v>2332.56</v>
      </c>
      <c r="G105" s="46">
        <f>SUM(G36:G104)</f>
        <v>3927.3312000000001</v>
      </c>
      <c r="H105" s="200"/>
      <c r="I105" s="200"/>
      <c r="J105" s="200"/>
      <c r="K105" s="366"/>
      <c r="L105" s="366">
        <f>SUM(L36:L104)</f>
        <v>195.00201599999997</v>
      </c>
    </row>
    <row r="106" spans="1:12" s="143" customFormat="1" ht="17.25" customHeight="1" x14ac:dyDescent="0.25">
      <c r="A106" s="282"/>
      <c r="B106" s="214"/>
      <c r="C106" s="215" t="s">
        <v>103</v>
      </c>
      <c r="D106" s="54">
        <f>SUM(D105+D35+D17)</f>
        <v>130549.00000000001</v>
      </c>
      <c r="E106" s="54">
        <f>SUM(E105+E35+E17)</f>
        <v>87430.010000000009</v>
      </c>
      <c r="F106" s="54">
        <f>SUM(F105+F35+F17)</f>
        <v>43118.99</v>
      </c>
      <c r="G106" s="54">
        <f>G105+G35+G17</f>
        <v>10443.92</v>
      </c>
      <c r="H106" s="216"/>
      <c r="I106" s="216"/>
      <c r="J106" s="216"/>
      <c r="K106" s="367"/>
      <c r="L106" s="367">
        <f>SUM(L105+L35+L17)</f>
        <v>3604.7475639999993</v>
      </c>
    </row>
    <row r="107" spans="1:12" hidden="1" x14ac:dyDescent="0.25"/>
    <row r="108" spans="1:12" hidden="1" x14ac:dyDescent="0.25">
      <c r="C108" s="97"/>
      <c r="D108" s="91"/>
      <c r="E108" s="97"/>
      <c r="F108" s="97"/>
      <c r="G108" s="97"/>
      <c r="H108" s="144"/>
      <c r="I108" s="144"/>
      <c r="J108" s="144"/>
      <c r="K108" s="144"/>
      <c r="L108" s="144"/>
    </row>
    <row r="109" spans="1:12" hidden="1" x14ac:dyDescent="0.25">
      <c r="C109" s="97"/>
      <c r="D109" s="97" t="s">
        <v>191</v>
      </c>
      <c r="E109" s="97"/>
      <c r="F109" s="97"/>
      <c r="G109" s="97"/>
      <c r="H109" s="142"/>
      <c r="I109" s="142"/>
      <c r="J109" s="142"/>
      <c r="K109" s="142"/>
      <c r="L109" s="142"/>
    </row>
    <row r="110" spans="1:12" hidden="1" x14ac:dyDescent="0.25">
      <c r="C110" s="97"/>
      <c r="D110" s="206" t="s">
        <v>192</v>
      </c>
      <c r="E110" s="207">
        <v>7527.57</v>
      </c>
      <c r="F110" s="97"/>
      <c r="G110" s="97"/>
      <c r="H110" s="99"/>
      <c r="I110" s="99"/>
      <c r="J110" s="99"/>
      <c r="K110" s="99"/>
      <c r="L110" s="99"/>
    </row>
    <row r="111" spans="1:12" hidden="1" x14ac:dyDescent="0.25">
      <c r="C111" s="97"/>
      <c r="D111" s="208" t="s">
        <v>193</v>
      </c>
      <c r="E111" s="209">
        <v>0</v>
      </c>
      <c r="F111" s="97"/>
      <c r="G111" s="97"/>
    </row>
    <row r="112" spans="1:12" hidden="1" x14ac:dyDescent="0.25">
      <c r="C112" s="97"/>
      <c r="D112" s="206" t="s">
        <v>194</v>
      </c>
      <c r="E112" s="207">
        <f>SUBTOTAL(9,E110:E111)</f>
        <v>7527.57</v>
      </c>
      <c r="F112" s="97"/>
      <c r="G112" s="97"/>
    </row>
    <row r="113" spans="3:7" hidden="1" x14ac:dyDescent="0.25">
      <c r="C113" s="97"/>
      <c r="D113" s="210"/>
      <c r="E113" s="97"/>
      <c r="F113" s="97"/>
      <c r="G113" s="97"/>
    </row>
    <row r="114" spans="3:7" hidden="1" x14ac:dyDescent="0.25">
      <c r="C114" s="97"/>
      <c r="D114" s="97"/>
      <c r="E114" s="97"/>
      <c r="F114" s="97"/>
      <c r="G114" s="97"/>
    </row>
    <row r="115" spans="3:7" hidden="1" x14ac:dyDescent="0.25">
      <c r="C115" s="97"/>
      <c r="D115" s="97"/>
      <c r="E115" s="97"/>
      <c r="F115" s="97"/>
      <c r="G115" s="97"/>
    </row>
    <row r="116" spans="3:7" hidden="1" x14ac:dyDescent="0.25">
      <c r="C116" s="97"/>
      <c r="D116" s="97"/>
      <c r="E116" s="97"/>
      <c r="F116" s="97"/>
      <c r="G116" s="97"/>
    </row>
    <row r="117" spans="3:7" hidden="1" x14ac:dyDescent="0.25"/>
  </sheetData>
  <autoFilter ref="A4:L105" xr:uid="{00000000-0009-0000-0000-000000000000}"/>
  <pageMargins left="0.51181102362204722" right="0.51181102362204722" top="0.47244094488188981" bottom="0.47244094488188981" header="0.31496062992125984" footer="0.31496062992125984"/>
  <pageSetup paperSize="9" scale="7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EA8D2-CEC1-419E-839C-BA0F0D33C275}">
  <sheetPr>
    <tabColor rgb="FF00B050"/>
    <pageSetUpPr fitToPage="1"/>
  </sheetPr>
  <dimension ref="A1:R120"/>
  <sheetViews>
    <sheetView showGridLines="0" topLeftCell="A95" workbookViewId="0">
      <selection activeCell="J95" sqref="J1:K1048576"/>
    </sheetView>
  </sheetViews>
  <sheetFormatPr defaultRowHeight="15" x14ac:dyDescent="0.25"/>
  <cols>
    <col min="1" max="1" width="9.85546875" style="60" customWidth="1"/>
    <col min="2" max="2" width="43.28515625" style="60" customWidth="1"/>
    <col min="3" max="3" width="14.5703125" style="59" customWidth="1"/>
    <col min="4" max="4" width="14.7109375" style="69" customWidth="1"/>
    <col min="5" max="5" width="16.28515625" style="69" customWidth="1"/>
    <col min="6" max="6" width="12.42578125" style="69" customWidth="1"/>
    <col min="7" max="7" width="11.140625" style="60" hidden="1" customWidth="1"/>
    <col min="8" max="8" width="13.28515625" style="60" hidden="1" customWidth="1"/>
    <col min="9" max="9" width="12.5703125" style="60" hidden="1" customWidth="1"/>
    <col min="10" max="10" width="13.140625" style="60" hidden="1" customWidth="1"/>
    <col min="11" max="11" width="15.5703125" style="60" hidden="1" customWidth="1"/>
    <col min="12" max="12" width="19.7109375" style="60" hidden="1" customWidth="1"/>
    <col min="13" max="13" width="17.85546875" style="60" hidden="1" customWidth="1"/>
    <col min="14" max="18" width="9.140625" style="60" hidden="1" customWidth="1"/>
    <col min="19" max="26" width="9.140625" style="60" customWidth="1"/>
    <col min="27" max="16384" width="9.140625" style="60"/>
  </cols>
  <sheetData>
    <row r="1" spans="1:14" ht="15.75" x14ac:dyDescent="0.25">
      <c r="A1" s="221"/>
      <c r="B1" s="303" t="s">
        <v>141</v>
      </c>
      <c r="C1" s="304"/>
      <c r="D1" s="222"/>
      <c r="E1" s="83"/>
      <c r="F1" s="83"/>
      <c r="G1" s="223"/>
      <c r="H1" s="223"/>
      <c r="I1" s="223"/>
      <c r="J1" s="223"/>
      <c r="K1" s="223"/>
      <c r="L1" s="223"/>
      <c r="M1" s="84"/>
    </row>
    <row r="2" spans="1:14" ht="15.75" x14ac:dyDescent="0.25">
      <c r="A2" s="59"/>
      <c r="B2" s="305" t="s">
        <v>195</v>
      </c>
      <c r="C2" s="306"/>
      <c r="D2" s="58"/>
      <c r="E2" s="58"/>
      <c r="F2" s="58"/>
      <c r="G2" s="59"/>
      <c r="H2" s="59"/>
      <c r="I2" s="59"/>
      <c r="J2" s="59"/>
      <c r="K2" s="59"/>
      <c r="L2" s="59"/>
      <c r="M2" s="85"/>
    </row>
    <row r="3" spans="1:14" ht="15.75" x14ac:dyDescent="0.25">
      <c r="A3" s="224"/>
      <c r="B3" s="307" t="s">
        <v>205</v>
      </c>
      <c r="C3" s="255"/>
      <c r="D3" s="88"/>
      <c r="E3" s="88"/>
      <c r="F3" s="88"/>
      <c r="G3" s="224"/>
      <c r="H3" s="224"/>
      <c r="I3" s="224"/>
      <c r="J3" s="224"/>
      <c r="K3" s="224"/>
      <c r="L3" s="224"/>
      <c r="M3" s="89"/>
    </row>
    <row r="4" spans="1:14" s="217" customFormat="1" ht="39" customHeight="1" x14ac:dyDescent="0.25">
      <c r="A4" s="62" t="s">
        <v>143</v>
      </c>
      <c r="B4" s="63" t="s">
        <v>144</v>
      </c>
      <c r="C4" s="58" t="s">
        <v>140</v>
      </c>
      <c r="D4" s="218" t="s">
        <v>145</v>
      </c>
      <c r="E4" s="58" t="s">
        <v>146</v>
      </c>
      <c r="F4" s="58" t="s">
        <v>212</v>
      </c>
      <c r="G4" s="58" t="s">
        <v>147</v>
      </c>
      <c r="H4" s="39" t="s">
        <v>213</v>
      </c>
      <c r="I4" s="39" t="s">
        <v>214</v>
      </c>
      <c r="J4" s="361" t="s">
        <v>252</v>
      </c>
      <c r="K4" s="361" t="s">
        <v>256</v>
      </c>
      <c r="L4" s="58" t="s">
        <v>148</v>
      </c>
      <c r="M4" s="58" t="s">
        <v>149</v>
      </c>
    </row>
    <row r="5" spans="1:14" ht="16.5" customHeight="1" x14ac:dyDescent="0.25">
      <c r="A5" s="176">
        <v>0.65</v>
      </c>
      <c r="B5" s="77" t="s">
        <v>1</v>
      </c>
      <c r="C5" s="72">
        <v>3858.8</v>
      </c>
      <c r="D5" s="179">
        <f>ROUND(C5*A5,2)</f>
        <v>2508.2199999999998</v>
      </c>
      <c r="E5" s="72">
        <f>C5-D5</f>
        <v>1350.5800000000004</v>
      </c>
      <c r="F5" s="72">
        <f>C5*8%</f>
        <v>308.70400000000001</v>
      </c>
      <c r="G5" s="76">
        <v>44474</v>
      </c>
      <c r="H5" s="76">
        <v>44414</v>
      </c>
      <c r="I5" s="244">
        <f>G5-H5</f>
        <v>60</v>
      </c>
      <c r="J5" s="388">
        <f>'RESUMO DE CÁLCULO'!B34</f>
        <v>0</v>
      </c>
      <c r="K5" s="72">
        <f t="shared" ref="K5:K19" si="0">SUM(E5)*J5</f>
        <v>0</v>
      </c>
      <c r="L5" s="71" t="s">
        <v>150</v>
      </c>
      <c r="M5" s="71" t="s">
        <v>152</v>
      </c>
    </row>
    <row r="6" spans="1:14" ht="16.5" customHeight="1" x14ac:dyDescent="0.25">
      <c r="A6" s="176">
        <v>0.65</v>
      </c>
      <c r="B6" s="73" t="s">
        <v>3</v>
      </c>
      <c r="C6" s="72">
        <v>3625.95</v>
      </c>
      <c r="D6" s="179">
        <v>1500</v>
      </c>
      <c r="E6" s="72">
        <f>C6-D7-D6</f>
        <v>1269.08</v>
      </c>
      <c r="F6" s="72">
        <f t="shared" ref="F6:F19" si="1">C6*8%</f>
        <v>290.07599999999996</v>
      </c>
      <c r="G6" s="74">
        <v>44418</v>
      </c>
      <c r="H6" s="74">
        <f>H5</f>
        <v>44414</v>
      </c>
      <c r="I6" s="244">
        <f t="shared" ref="I6:I65" si="2">G6-H6</f>
        <v>4</v>
      </c>
      <c r="J6" s="388">
        <f>J5</f>
        <v>0</v>
      </c>
      <c r="K6" s="72">
        <f t="shared" si="0"/>
        <v>0</v>
      </c>
      <c r="L6" s="71" t="s">
        <v>150</v>
      </c>
      <c r="M6" s="71" t="s">
        <v>154</v>
      </c>
    </row>
    <row r="7" spans="1:14" ht="16.5" customHeight="1" x14ac:dyDescent="0.25">
      <c r="A7" s="176">
        <v>0.65</v>
      </c>
      <c r="B7" s="73" t="s">
        <v>3</v>
      </c>
      <c r="C7" s="72">
        <v>0</v>
      </c>
      <c r="D7" s="179">
        <f>ROUND(C6*A6,2)-D6</f>
        <v>856.86999999999989</v>
      </c>
      <c r="E7" s="72">
        <v>0</v>
      </c>
      <c r="F7" s="72">
        <f t="shared" si="1"/>
        <v>0</v>
      </c>
      <c r="G7" s="74">
        <v>44420</v>
      </c>
      <c r="H7" s="74">
        <f>H6</f>
        <v>44414</v>
      </c>
      <c r="I7" s="244">
        <f t="shared" si="2"/>
        <v>6</v>
      </c>
      <c r="J7" s="388">
        <f t="shared" ref="J7:J66" si="3">J6</f>
        <v>0</v>
      </c>
      <c r="K7" s="72">
        <f t="shared" si="0"/>
        <v>0</v>
      </c>
      <c r="L7" s="71" t="s">
        <v>150</v>
      </c>
      <c r="M7" s="71" t="s">
        <v>154</v>
      </c>
    </row>
    <row r="8" spans="1:14" ht="16.5" customHeight="1" x14ac:dyDescent="0.25">
      <c r="A8" s="176">
        <v>0.65</v>
      </c>
      <c r="B8" s="77" t="s">
        <v>4</v>
      </c>
      <c r="C8" s="72">
        <v>4186.9799999999996</v>
      </c>
      <c r="D8" s="179">
        <v>1400</v>
      </c>
      <c r="E8" s="72">
        <f>C8-D9-D8</f>
        <v>1465.4399999999996</v>
      </c>
      <c r="F8" s="72">
        <f t="shared" si="1"/>
        <v>334.95839999999998</v>
      </c>
      <c r="G8" s="76">
        <v>44421</v>
      </c>
      <c r="H8" s="74">
        <f t="shared" ref="H8:H67" si="4">H7</f>
        <v>44414</v>
      </c>
      <c r="I8" s="244">
        <f t="shared" si="2"/>
        <v>7</v>
      </c>
      <c r="J8" s="388">
        <f t="shared" si="3"/>
        <v>0</v>
      </c>
      <c r="K8" s="72">
        <f t="shared" si="0"/>
        <v>0</v>
      </c>
      <c r="L8" s="71" t="s">
        <v>150</v>
      </c>
      <c r="M8" s="71" t="s">
        <v>152</v>
      </c>
    </row>
    <row r="9" spans="1:14" ht="16.5" customHeight="1" x14ac:dyDescent="0.25">
      <c r="A9" s="176">
        <v>0.65</v>
      </c>
      <c r="B9" s="77" t="s">
        <v>4</v>
      </c>
      <c r="C9" s="72">
        <v>0</v>
      </c>
      <c r="D9" s="179">
        <f>ROUND(C8*A8,2)-D8</f>
        <v>1321.54</v>
      </c>
      <c r="E9" s="72">
        <v>0</v>
      </c>
      <c r="F9" s="72">
        <f t="shared" si="1"/>
        <v>0</v>
      </c>
      <c r="G9" s="76">
        <v>44474</v>
      </c>
      <c r="H9" s="74">
        <f t="shared" si="4"/>
        <v>44414</v>
      </c>
      <c r="I9" s="244">
        <f t="shared" si="2"/>
        <v>60</v>
      </c>
      <c r="J9" s="388">
        <f t="shared" si="3"/>
        <v>0</v>
      </c>
      <c r="K9" s="72">
        <f t="shared" si="0"/>
        <v>0</v>
      </c>
      <c r="L9" s="71" t="s">
        <v>150</v>
      </c>
      <c r="M9" s="71" t="s">
        <v>152</v>
      </c>
    </row>
    <row r="10" spans="1:14" ht="16.5" customHeight="1" x14ac:dyDescent="0.25">
      <c r="A10" s="176">
        <v>0.65</v>
      </c>
      <c r="B10" s="73" t="s">
        <v>5</v>
      </c>
      <c r="C10" s="72">
        <v>5286.9</v>
      </c>
      <c r="D10" s="179">
        <v>1500</v>
      </c>
      <c r="E10" s="72">
        <f>C10-D11-D10</f>
        <v>1850.4099999999999</v>
      </c>
      <c r="F10" s="72">
        <f t="shared" si="1"/>
        <v>422.952</v>
      </c>
      <c r="G10" s="74">
        <v>44418</v>
      </c>
      <c r="H10" s="74">
        <f t="shared" si="4"/>
        <v>44414</v>
      </c>
      <c r="I10" s="244">
        <f t="shared" si="2"/>
        <v>4</v>
      </c>
      <c r="J10" s="388">
        <f t="shared" si="3"/>
        <v>0</v>
      </c>
      <c r="K10" s="72">
        <f t="shared" si="0"/>
        <v>0</v>
      </c>
      <c r="L10" s="71" t="s">
        <v>158</v>
      </c>
      <c r="M10" s="71" t="s">
        <v>152</v>
      </c>
    </row>
    <row r="11" spans="1:14" ht="16.5" customHeight="1" x14ac:dyDescent="0.25">
      <c r="A11" s="176">
        <v>0.65</v>
      </c>
      <c r="B11" s="73" t="s">
        <v>5</v>
      </c>
      <c r="C11" s="72">
        <v>0</v>
      </c>
      <c r="D11" s="179">
        <f>ROUND(C10*A10,2)-D10</f>
        <v>1936.4899999999998</v>
      </c>
      <c r="E11" s="72">
        <v>0</v>
      </c>
      <c r="F11" s="72">
        <f t="shared" si="1"/>
        <v>0</v>
      </c>
      <c r="G11" s="74">
        <v>44449</v>
      </c>
      <c r="H11" s="74">
        <f t="shared" si="4"/>
        <v>44414</v>
      </c>
      <c r="I11" s="244">
        <f t="shared" si="2"/>
        <v>35</v>
      </c>
      <c r="J11" s="388">
        <f t="shared" si="3"/>
        <v>0</v>
      </c>
      <c r="K11" s="72">
        <f t="shared" si="0"/>
        <v>0</v>
      </c>
      <c r="L11" s="71" t="s">
        <v>150</v>
      </c>
      <c r="M11" s="71" t="s">
        <v>154</v>
      </c>
    </row>
    <row r="12" spans="1:14" ht="16.5" customHeight="1" x14ac:dyDescent="0.25">
      <c r="A12" s="176">
        <v>0.65</v>
      </c>
      <c r="B12" s="77" t="s">
        <v>6</v>
      </c>
      <c r="C12" s="72">
        <v>3357.95</v>
      </c>
      <c r="D12" s="179">
        <v>1500</v>
      </c>
      <c r="E12" s="72">
        <f>C12-D13-D12</f>
        <v>1175.2799999999997</v>
      </c>
      <c r="F12" s="72">
        <f t="shared" si="1"/>
        <v>268.63599999999997</v>
      </c>
      <c r="G12" s="76">
        <v>44419</v>
      </c>
      <c r="H12" s="74">
        <f t="shared" si="4"/>
        <v>44414</v>
      </c>
      <c r="I12" s="244">
        <f t="shared" si="2"/>
        <v>5</v>
      </c>
      <c r="J12" s="388">
        <f t="shared" si="3"/>
        <v>0</v>
      </c>
      <c r="K12" s="72">
        <f t="shared" si="0"/>
        <v>0</v>
      </c>
      <c r="L12" s="71" t="s">
        <v>150</v>
      </c>
      <c r="M12" s="71" t="s">
        <v>154</v>
      </c>
    </row>
    <row r="13" spans="1:14" ht="16.5" customHeight="1" x14ac:dyDescent="0.25">
      <c r="A13" s="176">
        <v>0.65</v>
      </c>
      <c r="B13" s="77" t="s">
        <v>6</v>
      </c>
      <c r="C13" s="72">
        <v>0</v>
      </c>
      <c r="D13" s="179">
        <f>ROUND(C12*A12,2)-1500</f>
        <v>682.67000000000007</v>
      </c>
      <c r="E13" s="72">
        <v>0</v>
      </c>
      <c r="F13" s="72">
        <f t="shared" si="1"/>
        <v>0</v>
      </c>
      <c r="G13" s="76">
        <v>44424</v>
      </c>
      <c r="H13" s="74">
        <f t="shared" si="4"/>
        <v>44414</v>
      </c>
      <c r="I13" s="244">
        <f t="shared" si="2"/>
        <v>10</v>
      </c>
      <c r="J13" s="388">
        <f t="shared" si="3"/>
        <v>0</v>
      </c>
      <c r="K13" s="72">
        <f t="shared" si="0"/>
        <v>0</v>
      </c>
      <c r="L13" s="71" t="s">
        <v>150</v>
      </c>
      <c r="M13" s="71" t="s">
        <v>154</v>
      </c>
    </row>
    <row r="14" spans="1:14" ht="16.5" customHeight="1" x14ac:dyDescent="0.25">
      <c r="A14" s="176">
        <v>0.65</v>
      </c>
      <c r="B14" s="77" t="s">
        <v>8</v>
      </c>
      <c r="C14" s="72">
        <v>3210.09</v>
      </c>
      <c r="D14" s="179">
        <v>0</v>
      </c>
      <c r="E14" s="72">
        <f>C14</f>
        <v>3210.09</v>
      </c>
      <c r="F14" s="72">
        <f t="shared" si="1"/>
        <v>256.80720000000002</v>
      </c>
      <c r="G14" s="76"/>
      <c r="H14" s="74">
        <f t="shared" si="4"/>
        <v>44414</v>
      </c>
      <c r="I14" s="244">
        <v>0</v>
      </c>
      <c r="J14" s="388">
        <f t="shared" si="3"/>
        <v>0</v>
      </c>
      <c r="K14" s="72">
        <f t="shared" si="0"/>
        <v>0</v>
      </c>
      <c r="L14" s="71" t="s">
        <v>158</v>
      </c>
      <c r="M14" s="71" t="s">
        <v>152</v>
      </c>
      <c r="N14" s="219" t="s">
        <v>196</v>
      </c>
    </row>
    <row r="15" spans="1:14" ht="16.5" customHeight="1" x14ac:dyDescent="0.25">
      <c r="A15" s="176">
        <v>0.65</v>
      </c>
      <c r="B15" s="77" t="s">
        <v>9</v>
      </c>
      <c r="C15" s="72">
        <v>3842.33</v>
      </c>
      <c r="D15" s="179">
        <v>0</v>
      </c>
      <c r="E15" s="72">
        <f>C15</f>
        <v>3842.33</v>
      </c>
      <c r="F15" s="72">
        <f t="shared" si="1"/>
        <v>307.38639999999998</v>
      </c>
      <c r="G15" s="76"/>
      <c r="H15" s="74">
        <f t="shared" si="4"/>
        <v>44414</v>
      </c>
      <c r="I15" s="244">
        <v>0</v>
      </c>
      <c r="J15" s="388">
        <f t="shared" si="3"/>
        <v>0</v>
      </c>
      <c r="K15" s="72">
        <f t="shared" si="0"/>
        <v>0</v>
      </c>
      <c r="L15" s="71" t="s">
        <v>158</v>
      </c>
      <c r="M15" s="71" t="s">
        <v>152</v>
      </c>
      <c r="N15" s="219" t="s">
        <v>196</v>
      </c>
    </row>
    <row r="16" spans="1:14" ht="16.5" customHeight="1" x14ac:dyDescent="0.25">
      <c r="A16" s="176">
        <v>0.65</v>
      </c>
      <c r="B16" s="77" t="s">
        <v>11</v>
      </c>
      <c r="C16" s="72">
        <v>2214.96</v>
      </c>
      <c r="D16" s="179">
        <v>0</v>
      </c>
      <c r="E16" s="72">
        <f>C16</f>
        <v>2214.96</v>
      </c>
      <c r="F16" s="72">
        <f t="shared" si="1"/>
        <v>177.1968</v>
      </c>
      <c r="G16" s="76"/>
      <c r="H16" s="74">
        <f t="shared" si="4"/>
        <v>44414</v>
      </c>
      <c r="I16" s="244">
        <v>0</v>
      </c>
      <c r="J16" s="388">
        <f t="shared" si="3"/>
        <v>0</v>
      </c>
      <c r="K16" s="72">
        <f t="shared" si="0"/>
        <v>0</v>
      </c>
      <c r="L16" s="71" t="s">
        <v>150</v>
      </c>
      <c r="M16" s="71" t="s">
        <v>152</v>
      </c>
      <c r="N16" s="219" t="s">
        <v>196</v>
      </c>
    </row>
    <row r="17" spans="1:14" ht="16.5" customHeight="1" x14ac:dyDescent="0.25">
      <c r="A17" s="176">
        <v>0.65</v>
      </c>
      <c r="B17" s="77" t="s">
        <v>12</v>
      </c>
      <c r="C17" s="72">
        <v>1309.07</v>
      </c>
      <c r="D17" s="179">
        <v>0</v>
      </c>
      <c r="E17" s="72">
        <f>C17</f>
        <v>1309.07</v>
      </c>
      <c r="F17" s="72">
        <f t="shared" si="1"/>
        <v>104.7256</v>
      </c>
      <c r="G17" s="76"/>
      <c r="H17" s="74">
        <f t="shared" si="4"/>
        <v>44414</v>
      </c>
      <c r="I17" s="244">
        <v>0</v>
      </c>
      <c r="J17" s="388">
        <f t="shared" si="3"/>
        <v>0</v>
      </c>
      <c r="K17" s="72">
        <f t="shared" si="0"/>
        <v>0</v>
      </c>
      <c r="L17" s="71" t="s">
        <v>150</v>
      </c>
      <c r="M17" s="71" t="s">
        <v>154</v>
      </c>
      <c r="N17" s="219" t="s">
        <v>196</v>
      </c>
    </row>
    <row r="18" spans="1:14" ht="16.5" customHeight="1" x14ac:dyDescent="0.25">
      <c r="A18" s="176">
        <v>0.65</v>
      </c>
      <c r="B18" s="77" t="s">
        <v>13</v>
      </c>
      <c r="C18" s="72">
        <v>2918.45</v>
      </c>
      <c r="D18" s="179">
        <f t="shared" ref="D18:D47" si="5">ROUND(C18*A18,2)</f>
        <v>1896.99</v>
      </c>
      <c r="E18" s="72">
        <f t="shared" ref="E18:E34" si="6">C18-D18</f>
        <v>1021.4599999999998</v>
      </c>
      <c r="F18" s="72">
        <f t="shared" si="1"/>
        <v>233.476</v>
      </c>
      <c r="G18" s="76">
        <v>44474</v>
      </c>
      <c r="H18" s="74">
        <f t="shared" si="4"/>
        <v>44414</v>
      </c>
      <c r="I18" s="244">
        <f t="shared" si="2"/>
        <v>60</v>
      </c>
      <c r="J18" s="388">
        <f t="shared" si="3"/>
        <v>0</v>
      </c>
      <c r="K18" s="72">
        <f t="shared" si="0"/>
        <v>0</v>
      </c>
      <c r="L18" s="71" t="s">
        <v>150</v>
      </c>
      <c r="M18" s="71" t="s">
        <v>154</v>
      </c>
    </row>
    <row r="19" spans="1:14" ht="16.5" customHeight="1" x14ac:dyDescent="0.25">
      <c r="A19" s="176">
        <v>0.65</v>
      </c>
      <c r="B19" s="77" t="s">
        <v>104</v>
      </c>
      <c r="C19" s="72">
        <v>2548.31</v>
      </c>
      <c r="D19" s="179">
        <f t="shared" si="5"/>
        <v>1656.4</v>
      </c>
      <c r="E19" s="72">
        <f t="shared" si="6"/>
        <v>891.90999999999985</v>
      </c>
      <c r="F19" s="72">
        <f t="shared" si="1"/>
        <v>203.8648</v>
      </c>
      <c r="G19" s="76">
        <v>44418</v>
      </c>
      <c r="H19" s="74">
        <f t="shared" si="4"/>
        <v>44414</v>
      </c>
      <c r="I19" s="244">
        <f t="shared" si="2"/>
        <v>4</v>
      </c>
      <c r="J19" s="388">
        <f t="shared" si="3"/>
        <v>0</v>
      </c>
      <c r="K19" s="72">
        <f t="shared" si="0"/>
        <v>0</v>
      </c>
      <c r="L19" s="71" t="s">
        <v>150</v>
      </c>
      <c r="M19" s="71" t="s">
        <v>152</v>
      </c>
    </row>
    <row r="20" spans="1:14" ht="16.5" customHeight="1" x14ac:dyDescent="0.25">
      <c r="A20" s="190"/>
      <c r="B20" s="181" t="s">
        <v>156</v>
      </c>
      <c r="C20" s="181">
        <f>SUM(C5:C19)</f>
        <v>36359.789999999994</v>
      </c>
      <c r="D20" s="181">
        <f>SUBTOTAL(9,D5:D19)</f>
        <v>16759.18</v>
      </c>
      <c r="E20" s="181">
        <f>SUM(E5:E19)</f>
        <v>19600.61</v>
      </c>
      <c r="F20" s="181">
        <f>SUM(F5:F19)</f>
        <v>2908.7832000000003</v>
      </c>
      <c r="G20" s="181"/>
      <c r="H20" s="251"/>
      <c r="I20" s="248">
        <f t="shared" si="2"/>
        <v>0</v>
      </c>
      <c r="J20" s="389"/>
      <c r="K20" s="317">
        <f>SUM(K5:K19)</f>
        <v>0</v>
      </c>
      <c r="L20" s="226"/>
      <c r="M20" s="226"/>
    </row>
    <row r="21" spans="1:14" ht="16.5" customHeight="1" x14ac:dyDescent="0.25">
      <c r="A21" s="176">
        <v>0.8</v>
      </c>
      <c r="B21" s="73" t="s">
        <v>19</v>
      </c>
      <c r="C21" s="72">
        <v>3138.56</v>
      </c>
      <c r="D21" s="179">
        <v>1500</v>
      </c>
      <c r="E21" s="72">
        <f>C21-D22-D21</f>
        <v>627.71</v>
      </c>
      <c r="F21" s="72">
        <f t="shared" ref="F21:F40" si="7">C21*8%</f>
        <v>251.0848</v>
      </c>
      <c r="G21" s="76">
        <v>44418</v>
      </c>
      <c r="H21" s="74" t="e">
        <f>#REF!</f>
        <v>#REF!</v>
      </c>
      <c r="I21" s="244" t="e">
        <f t="shared" si="2"/>
        <v>#REF!</v>
      </c>
      <c r="J21" s="388">
        <f>J19</f>
        <v>0</v>
      </c>
      <c r="K21" s="72">
        <f t="shared" ref="K21:K40" si="8">SUM(E21)*J21</f>
        <v>0</v>
      </c>
      <c r="L21" s="71" t="s">
        <v>158</v>
      </c>
      <c r="M21" s="71" t="s">
        <v>151</v>
      </c>
    </row>
    <row r="22" spans="1:14" ht="16.5" customHeight="1" x14ac:dyDescent="0.25">
      <c r="A22" s="176">
        <v>0.8</v>
      </c>
      <c r="B22" s="73" t="s">
        <v>19</v>
      </c>
      <c r="C22" s="72">
        <v>0</v>
      </c>
      <c r="D22" s="179">
        <f>ROUND(C21*A21,2)-D21</f>
        <v>1010.8499999999999</v>
      </c>
      <c r="E22" s="72">
        <v>0</v>
      </c>
      <c r="F22" s="72">
        <f t="shared" si="7"/>
        <v>0</v>
      </c>
      <c r="G22" s="76">
        <v>44449</v>
      </c>
      <c r="H22" s="74" t="e">
        <f t="shared" si="4"/>
        <v>#REF!</v>
      </c>
      <c r="I22" s="244" t="e">
        <f t="shared" si="2"/>
        <v>#REF!</v>
      </c>
      <c r="J22" s="388">
        <f t="shared" si="3"/>
        <v>0</v>
      </c>
      <c r="K22" s="72">
        <f t="shared" si="8"/>
        <v>0</v>
      </c>
      <c r="L22" s="71" t="s">
        <v>150</v>
      </c>
      <c r="M22" s="71" t="s">
        <v>154</v>
      </c>
    </row>
    <row r="23" spans="1:14" ht="16.5" customHeight="1" x14ac:dyDescent="0.25">
      <c r="A23" s="176">
        <v>0.8</v>
      </c>
      <c r="B23" s="73" t="s">
        <v>20</v>
      </c>
      <c r="C23" s="72">
        <v>1583.82</v>
      </c>
      <c r="D23" s="179">
        <f>ROUND(C23*A23,2)</f>
        <v>1267.06</v>
      </c>
      <c r="E23" s="72">
        <f>C23-D23</f>
        <v>316.76</v>
      </c>
      <c r="F23" s="72">
        <f t="shared" si="7"/>
        <v>126.7056</v>
      </c>
      <c r="G23" s="74">
        <v>44474</v>
      </c>
      <c r="H23" s="74" t="e">
        <f t="shared" si="4"/>
        <v>#REF!</v>
      </c>
      <c r="I23" s="244" t="e">
        <f t="shared" si="2"/>
        <v>#REF!</v>
      </c>
      <c r="J23" s="388">
        <f t="shared" si="3"/>
        <v>0</v>
      </c>
      <c r="K23" s="72">
        <f t="shared" si="8"/>
        <v>0</v>
      </c>
      <c r="L23" s="71" t="s">
        <v>158</v>
      </c>
      <c r="M23" s="71" t="s">
        <v>159</v>
      </c>
      <c r="N23" s="165"/>
    </row>
    <row r="24" spans="1:14" ht="16.5" customHeight="1" x14ac:dyDescent="0.25">
      <c r="A24" s="176">
        <v>0.8</v>
      </c>
      <c r="B24" s="73" t="s">
        <v>21</v>
      </c>
      <c r="C24" s="72">
        <v>911.9</v>
      </c>
      <c r="D24" s="179">
        <f t="shared" ref="D24:D34" si="9">ROUND(C24*A24,2)</f>
        <v>729.52</v>
      </c>
      <c r="E24" s="72">
        <f t="shared" si="6"/>
        <v>182.38</v>
      </c>
      <c r="F24" s="72">
        <f t="shared" si="7"/>
        <v>72.951999999999998</v>
      </c>
      <c r="G24" s="74">
        <v>44418</v>
      </c>
      <c r="H24" s="74" t="e">
        <f t="shared" si="4"/>
        <v>#REF!</v>
      </c>
      <c r="I24" s="244" t="e">
        <f t="shared" si="2"/>
        <v>#REF!</v>
      </c>
      <c r="J24" s="388">
        <f t="shared" si="3"/>
        <v>0</v>
      </c>
      <c r="K24" s="72">
        <f t="shared" si="8"/>
        <v>0</v>
      </c>
      <c r="L24" s="71" t="s">
        <v>158</v>
      </c>
      <c r="M24" s="71" t="s">
        <v>152</v>
      </c>
    </row>
    <row r="25" spans="1:14" ht="16.5" customHeight="1" x14ac:dyDescent="0.25">
      <c r="A25" s="176">
        <v>0.8</v>
      </c>
      <c r="B25" s="73" t="s">
        <v>22</v>
      </c>
      <c r="C25" s="72">
        <v>1263</v>
      </c>
      <c r="D25" s="179">
        <f t="shared" si="9"/>
        <v>1010.4</v>
      </c>
      <c r="E25" s="72">
        <f t="shared" si="6"/>
        <v>252.60000000000002</v>
      </c>
      <c r="F25" s="72">
        <f t="shared" si="7"/>
        <v>101.04</v>
      </c>
      <c r="G25" s="74">
        <v>44418</v>
      </c>
      <c r="H25" s="74" t="e">
        <f t="shared" si="4"/>
        <v>#REF!</v>
      </c>
      <c r="I25" s="244" t="e">
        <f t="shared" si="2"/>
        <v>#REF!</v>
      </c>
      <c r="J25" s="388">
        <f t="shared" si="3"/>
        <v>0</v>
      </c>
      <c r="K25" s="72">
        <f t="shared" si="8"/>
        <v>0</v>
      </c>
      <c r="L25" s="71" t="s">
        <v>158</v>
      </c>
      <c r="M25" s="71" t="s">
        <v>152</v>
      </c>
    </row>
    <row r="26" spans="1:14" ht="16.5" customHeight="1" x14ac:dyDescent="0.25">
      <c r="A26" s="176">
        <v>0.8</v>
      </c>
      <c r="B26" s="73" t="s">
        <v>23</v>
      </c>
      <c r="C26" s="72">
        <v>3994.26</v>
      </c>
      <c r="D26" s="179">
        <f t="shared" si="9"/>
        <v>3195.41</v>
      </c>
      <c r="E26" s="72">
        <f t="shared" si="6"/>
        <v>798.85000000000036</v>
      </c>
      <c r="F26" s="72">
        <f t="shared" si="7"/>
        <v>319.54080000000005</v>
      </c>
      <c r="G26" s="74">
        <v>44449</v>
      </c>
      <c r="H26" s="74" t="e">
        <f t="shared" si="4"/>
        <v>#REF!</v>
      </c>
      <c r="I26" s="244" t="e">
        <f t="shared" si="2"/>
        <v>#REF!</v>
      </c>
      <c r="J26" s="388">
        <f t="shared" si="3"/>
        <v>0</v>
      </c>
      <c r="K26" s="72">
        <f t="shared" si="8"/>
        <v>0</v>
      </c>
      <c r="L26" s="71" t="s">
        <v>150</v>
      </c>
      <c r="M26" s="71" t="s">
        <v>154</v>
      </c>
    </row>
    <row r="27" spans="1:14" ht="16.5" customHeight="1" x14ac:dyDescent="0.25">
      <c r="A27" s="176">
        <v>0.8</v>
      </c>
      <c r="B27" s="77" t="s">
        <v>24</v>
      </c>
      <c r="C27" s="72">
        <v>742.12</v>
      </c>
      <c r="D27" s="179">
        <f t="shared" si="9"/>
        <v>593.70000000000005</v>
      </c>
      <c r="E27" s="72">
        <f t="shared" si="6"/>
        <v>148.41999999999996</v>
      </c>
      <c r="F27" s="72">
        <f t="shared" si="7"/>
        <v>59.369599999999998</v>
      </c>
      <c r="G27" s="74">
        <v>44477</v>
      </c>
      <c r="H27" s="74" t="e">
        <f t="shared" si="4"/>
        <v>#REF!</v>
      </c>
      <c r="I27" s="244" t="e">
        <f t="shared" si="2"/>
        <v>#REF!</v>
      </c>
      <c r="J27" s="388">
        <f t="shared" si="3"/>
        <v>0</v>
      </c>
      <c r="K27" s="72">
        <f t="shared" si="8"/>
        <v>0</v>
      </c>
      <c r="L27" s="71" t="s">
        <v>150</v>
      </c>
      <c r="M27" s="71" t="s">
        <v>152</v>
      </c>
      <c r="N27" s="219"/>
    </row>
    <row r="28" spans="1:14" ht="16.5" customHeight="1" x14ac:dyDescent="0.25">
      <c r="A28" s="176">
        <v>0.8</v>
      </c>
      <c r="B28" s="73" t="s">
        <v>25</v>
      </c>
      <c r="C28" s="72">
        <v>7093.27</v>
      </c>
      <c r="D28" s="179">
        <v>1300</v>
      </c>
      <c r="E28" s="72">
        <f>C28-D30-D29-D28</f>
        <v>1418.6500000000005</v>
      </c>
      <c r="F28" s="72">
        <f t="shared" si="7"/>
        <v>567.46160000000009</v>
      </c>
      <c r="G28" s="74">
        <v>44418</v>
      </c>
      <c r="H28" s="74" t="e">
        <f t="shared" si="4"/>
        <v>#REF!</v>
      </c>
      <c r="I28" s="244" t="e">
        <f t="shared" si="2"/>
        <v>#REF!</v>
      </c>
      <c r="J28" s="388">
        <f t="shared" si="3"/>
        <v>0</v>
      </c>
      <c r="K28" s="72">
        <f t="shared" si="8"/>
        <v>0</v>
      </c>
      <c r="L28" s="71" t="s">
        <v>158</v>
      </c>
      <c r="M28" s="71" t="s">
        <v>151</v>
      </c>
    </row>
    <row r="29" spans="1:14" ht="16.5" customHeight="1" x14ac:dyDescent="0.25">
      <c r="A29" s="176">
        <v>0.8</v>
      </c>
      <c r="B29" s="73" t="s">
        <v>25</v>
      </c>
      <c r="C29" s="72">
        <v>0</v>
      </c>
      <c r="D29" s="179">
        <v>1500</v>
      </c>
      <c r="E29" s="72">
        <v>0</v>
      </c>
      <c r="F29" s="72">
        <f t="shared" si="7"/>
        <v>0</v>
      </c>
      <c r="G29" s="74">
        <v>44441</v>
      </c>
      <c r="H29" s="74" t="e">
        <f t="shared" si="4"/>
        <v>#REF!</v>
      </c>
      <c r="I29" s="244" t="e">
        <f t="shared" si="2"/>
        <v>#REF!</v>
      </c>
      <c r="J29" s="388">
        <f t="shared" si="3"/>
        <v>0</v>
      </c>
      <c r="K29" s="72">
        <f t="shared" si="8"/>
        <v>0</v>
      </c>
      <c r="L29" s="71" t="s">
        <v>150</v>
      </c>
      <c r="M29" s="71" t="s">
        <v>154</v>
      </c>
    </row>
    <row r="30" spans="1:14" ht="16.5" customHeight="1" x14ac:dyDescent="0.25">
      <c r="A30" s="176">
        <v>0.8</v>
      </c>
      <c r="B30" s="73" t="s">
        <v>25</v>
      </c>
      <c r="C30" s="72">
        <v>0</v>
      </c>
      <c r="D30" s="179">
        <f>ROUND(C28*A28,2)-D28-D29</f>
        <v>2874.62</v>
      </c>
      <c r="E30" s="72">
        <v>0</v>
      </c>
      <c r="F30" s="72">
        <f t="shared" si="7"/>
        <v>0</v>
      </c>
      <c r="G30" s="74">
        <v>44449</v>
      </c>
      <c r="H30" s="74" t="e">
        <f t="shared" si="4"/>
        <v>#REF!</v>
      </c>
      <c r="I30" s="244" t="e">
        <f t="shared" si="2"/>
        <v>#REF!</v>
      </c>
      <c r="J30" s="388">
        <f t="shared" si="3"/>
        <v>0</v>
      </c>
      <c r="K30" s="72">
        <f t="shared" si="8"/>
        <v>0</v>
      </c>
      <c r="L30" s="71" t="s">
        <v>150</v>
      </c>
      <c r="M30" s="71" t="s">
        <v>154</v>
      </c>
    </row>
    <row r="31" spans="1:14" ht="16.5" customHeight="1" x14ac:dyDescent="0.25">
      <c r="A31" s="176">
        <v>0.8</v>
      </c>
      <c r="B31" s="73" t="s">
        <v>60</v>
      </c>
      <c r="C31" s="72">
        <v>1265.83</v>
      </c>
      <c r="D31" s="179">
        <f t="shared" si="9"/>
        <v>1012.66</v>
      </c>
      <c r="E31" s="72">
        <f t="shared" si="6"/>
        <v>253.16999999999996</v>
      </c>
      <c r="F31" s="72">
        <f t="shared" si="7"/>
        <v>101.26639999999999</v>
      </c>
      <c r="G31" s="74">
        <v>44418</v>
      </c>
      <c r="H31" s="74" t="e">
        <f t="shared" si="4"/>
        <v>#REF!</v>
      </c>
      <c r="I31" s="244" t="e">
        <f t="shared" si="2"/>
        <v>#REF!</v>
      </c>
      <c r="J31" s="388">
        <f t="shared" si="3"/>
        <v>0</v>
      </c>
      <c r="K31" s="72">
        <f t="shared" si="8"/>
        <v>0</v>
      </c>
      <c r="L31" s="71" t="s">
        <v>150</v>
      </c>
      <c r="M31" s="71" t="s">
        <v>154</v>
      </c>
    </row>
    <row r="32" spans="1:14" ht="16.5" customHeight="1" x14ac:dyDescent="0.25">
      <c r="A32" s="176">
        <v>0.8</v>
      </c>
      <c r="B32" s="73" t="s">
        <v>26</v>
      </c>
      <c r="C32" s="72">
        <v>6154.89</v>
      </c>
      <c r="D32" s="179">
        <v>0</v>
      </c>
      <c r="E32" s="72">
        <f>C32</f>
        <v>6154.89</v>
      </c>
      <c r="F32" s="72">
        <f t="shared" si="7"/>
        <v>492.39120000000003</v>
      </c>
      <c r="G32" s="74"/>
      <c r="H32" s="74" t="e">
        <f t="shared" si="4"/>
        <v>#REF!</v>
      </c>
      <c r="I32" s="244"/>
      <c r="J32" s="388">
        <f t="shared" si="3"/>
        <v>0</v>
      </c>
      <c r="K32" s="72">
        <f t="shared" si="8"/>
        <v>0</v>
      </c>
      <c r="L32" s="71" t="s">
        <v>158</v>
      </c>
      <c r="M32" s="71" t="s">
        <v>151</v>
      </c>
      <c r="N32" s="219" t="s">
        <v>196</v>
      </c>
    </row>
    <row r="33" spans="1:14" ht="16.5" customHeight="1" x14ac:dyDescent="0.25">
      <c r="A33" s="176">
        <v>0.8</v>
      </c>
      <c r="B33" s="73" t="s">
        <v>27</v>
      </c>
      <c r="C33" s="72">
        <v>4351.84</v>
      </c>
      <c r="D33" s="179">
        <v>0</v>
      </c>
      <c r="E33" s="72">
        <f>C33</f>
        <v>4351.84</v>
      </c>
      <c r="F33" s="72">
        <f t="shared" si="7"/>
        <v>348.1472</v>
      </c>
      <c r="G33" s="74"/>
      <c r="H33" s="74" t="e">
        <f t="shared" si="4"/>
        <v>#REF!</v>
      </c>
      <c r="I33" s="244"/>
      <c r="J33" s="388">
        <f t="shared" si="3"/>
        <v>0</v>
      </c>
      <c r="K33" s="72">
        <f t="shared" si="8"/>
        <v>0</v>
      </c>
      <c r="L33" s="71" t="s">
        <v>158</v>
      </c>
      <c r="M33" s="71" t="s">
        <v>151</v>
      </c>
      <c r="N33" s="219" t="s">
        <v>196</v>
      </c>
    </row>
    <row r="34" spans="1:14" ht="16.5" customHeight="1" x14ac:dyDescent="0.25">
      <c r="A34" s="176">
        <v>0.8</v>
      </c>
      <c r="B34" s="73" t="s">
        <v>28</v>
      </c>
      <c r="C34" s="72">
        <v>1394.86</v>
      </c>
      <c r="D34" s="179">
        <f t="shared" si="9"/>
        <v>1115.8900000000001</v>
      </c>
      <c r="E34" s="72">
        <f t="shared" si="6"/>
        <v>278.9699999999998</v>
      </c>
      <c r="F34" s="72">
        <f t="shared" si="7"/>
        <v>111.58879999999999</v>
      </c>
      <c r="G34" s="74">
        <v>44419</v>
      </c>
      <c r="H34" s="74" t="e">
        <f t="shared" si="4"/>
        <v>#REF!</v>
      </c>
      <c r="I34" s="244" t="e">
        <f t="shared" si="2"/>
        <v>#REF!</v>
      </c>
      <c r="J34" s="388">
        <f t="shared" si="3"/>
        <v>0</v>
      </c>
      <c r="K34" s="72">
        <f t="shared" si="8"/>
        <v>0</v>
      </c>
      <c r="L34" s="71" t="s">
        <v>150</v>
      </c>
      <c r="M34" s="71" t="s">
        <v>154</v>
      </c>
    </row>
    <row r="35" spans="1:14" ht="16.5" customHeight="1" x14ac:dyDescent="0.25">
      <c r="A35" s="176">
        <v>0.8</v>
      </c>
      <c r="B35" s="73" t="s">
        <v>29</v>
      </c>
      <c r="C35" s="72">
        <v>2279.9899999999998</v>
      </c>
      <c r="D35" s="179">
        <v>0</v>
      </c>
      <c r="E35" s="72">
        <f>C35</f>
        <v>2279.9899999999998</v>
      </c>
      <c r="F35" s="72">
        <f t="shared" si="7"/>
        <v>182.39919999999998</v>
      </c>
      <c r="G35" s="74"/>
      <c r="H35" s="74" t="e">
        <f t="shared" si="4"/>
        <v>#REF!</v>
      </c>
      <c r="I35" s="244"/>
      <c r="J35" s="388">
        <f t="shared" si="3"/>
        <v>0</v>
      </c>
      <c r="K35" s="72">
        <f t="shared" si="8"/>
        <v>0</v>
      </c>
      <c r="L35" s="71" t="s">
        <v>150</v>
      </c>
      <c r="M35" s="71" t="s">
        <v>152</v>
      </c>
      <c r="N35" s="219" t="s">
        <v>196</v>
      </c>
    </row>
    <row r="36" spans="1:14" ht="16.5" customHeight="1" x14ac:dyDescent="0.25">
      <c r="A36" s="176">
        <v>0.8</v>
      </c>
      <c r="B36" s="73" t="s">
        <v>30</v>
      </c>
      <c r="C36" s="72">
        <v>4693.3599999999997</v>
      </c>
      <c r="D36" s="179">
        <v>1500</v>
      </c>
      <c r="E36" s="72">
        <f>C36-D37-D36</f>
        <v>938.66999999999962</v>
      </c>
      <c r="F36" s="72">
        <f t="shared" si="7"/>
        <v>375.46879999999999</v>
      </c>
      <c r="G36" s="74">
        <v>44418</v>
      </c>
      <c r="H36" s="74" t="e">
        <f t="shared" si="4"/>
        <v>#REF!</v>
      </c>
      <c r="I36" s="244" t="e">
        <f t="shared" si="2"/>
        <v>#REF!</v>
      </c>
      <c r="J36" s="388">
        <f t="shared" si="3"/>
        <v>0</v>
      </c>
      <c r="K36" s="72">
        <f t="shared" si="8"/>
        <v>0</v>
      </c>
      <c r="L36" s="71" t="s">
        <v>150</v>
      </c>
      <c r="M36" s="71" t="s">
        <v>154</v>
      </c>
    </row>
    <row r="37" spans="1:14" ht="16.5" customHeight="1" x14ac:dyDescent="0.25">
      <c r="A37" s="176">
        <v>0.8</v>
      </c>
      <c r="B37" s="73" t="s">
        <v>30</v>
      </c>
      <c r="C37" s="72">
        <v>0</v>
      </c>
      <c r="D37" s="179">
        <f>ROUND(C36*A36,2)-D36</f>
        <v>2254.69</v>
      </c>
      <c r="E37" s="72">
        <v>0</v>
      </c>
      <c r="F37" s="72">
        <f t="shared" si="7"/>
        <v>0</v>
      </c>
      <c r="G37" s="74">
        <v>44449</v>
      </c>
      <c r="H37" s="74" t="e">
        <f t="shared" si="4"/>
        <v>#REF!</v>
      </c>
      <c r="I37" s="244" t="e">
        <f t="shared" si="2"/>
        <v>#REF!</v>
      </c>
      <c r="J37" s="388">
        <f t="shared" si="3"/>
        <v>0</v>
      </c>
      <c r="K37" s="72">
        <f t="shared" si="8"/>
        <v>0</v>
      </c>
      <c r="L37" s="71" t="s">
        <v>150</v>
      </c>
      <c r="M37" s="71" t="s">
        <v>154</v>
      </c>
    </row>
    <row r="38" spans="1:14" ht="16.5" customHeight="1" x14ac:dyDescent="0.25">
      <c r="A38" s="176">
        <v>0.8</v>
      </c>
      <c r="B38" s="73" t="s">
        <v>31</v>
      </c>
      <c r="C38" s="72">
        <v>2737.48</v>
      </c>
      <c r="D38" s="179">
        <v>1500</v>
      </c>
      <c r="E38" s="72">
        <f>C38-D39-D38</f>
        <v>547.5</v>
      </c>
      <c r="F38" s="72">
        <f t="shared" si="7"/>
        <v>218.9984</v>
      </c>
      <c r="G38" s="74">
        <v>44418</v>
      </c>
      <c r="H38" s="74" t="e">
        <f t="shared" si="4"/>
        <v>#REF!</v>
      </c>
      <c r="I38" s="244" t="e">
        <f t="shared" si="2"/>
        <v>#REF!</v>
      </c>
      <c r="J38" s="388">
        <f t="shared" si="3"/>
        <v>0</v>
      </c>
      <c r="K38" s="72">
        <f t="shared" si="8"/>
        <v>0</v>
      </c>
      <c r="L38" s="71" t="s">
        <v>150</v>
      </c>
      <c r="M38" s="71" t="s">
        <v>154</v>
      </c>
    </row>
    <row r="39" spans="1:14" ht="16.5" customHeight="1" x14ac:dyDescent="0.25">
      <c r="A39" s="176">
        <v>0.8</v>
      </c>
      <c r="B39" s="73" t="s">
        <v>31</v>
      </c>
      <c r="C39" s="72">
        <v>0</v>
      </c>
      <c r="D39" s="179">
        <f>ROUND(C38*A38,2)-D38</f>
        <v>689.98</v>
      </c>
      <c r="E39" s="72">
        <v>0</v>
      </c>
      <c r="F39" s="72">
        <f t="shared" si="7"/>
        <v>0</v>
      </c>
      <c r="G39" s="74">
        <v>44420</v>
      </c>
      <c r="H39" s="74" t="e">
        <f t="shared" si="4"/>
        <v>#REF!</v>
      </c>
      <c r="I39" s="244" t="e">
        <f t="shared" si="2"/>
        <v>#REF!</v>
      </c>
      <c r="J39" s="388">
        <f t="shared" si="3"/>
        <v>0</v>
      </c>
      <c r="K39" s="72">
        <f t="shared" si="8"/>
        <v>0</v>
      </c>
      <c r="L39" s="71" t="s">
        <v>150</v>
      </c>
      <c r="M39" s="71" t="s">
        <v>154</v>
      </c>
    </row>
    <row r="40" spans="1:14" ht="16.5" customHeight="1" x14ac:dyDescent="0.25">
      <c r="A40" s="176">
        <v>0.8</v>
      </c>
      <c r="B40" s="73" t="s">
        <v>32</v>
      </c>
      <c r="C40" s="72">
        <v>2610.1</v>
      </c>
      <c r="D40" s="179">
        <f t="shared" si="5"/>
        <v>2088.08</v>
      </c>
      <c r="E40" s="72">
        <f t="shared" ref="E40:E68" si="10">C40-D40</f>
        <v>522.02</v>
      </c>
      <c r="F40" s="72">
        <f t="shared" si="7"/>
        <v>208.80799999999999</v>
      </c>
      <c r="G40" s="74">
        <v>44418</v>
      </c>
      <c r="H40" s="74" t="e">
        <f t="shared" si="4"/>
        <v>#REF!</v>
      </c>
      <c r="I40" s="244" t="e">
        <f t="shared" si="2"/>
        <v>#REF!</v>
      </c>
      <c r="J40" s="388">
        <f t="shared" si="3"/>
        <v>0</v>
      </c>
      <c r="K40" s="72">
        <f t="shared" si="8"/>
        <v>0</v>
      </c>
      <c r="L40" s="71" t="s">
        <v>158</v>
      </c>
      <c r="M40" s="71" t="s">
        <v>152</v>
      </c>
    </row>
    <row r="41" spans="1:14" ht="16.5" customHeight="1" x14ac:dyDescent="0.25">
      <c r="A41" s="190"/>
      <c r="B41" s="181" t="s">
        <v>160</v>
      </c>
      <c r="C41" s="181">
        <f>SUM(C21:C40)</f>
        <v>44215.280000000006</v>
      </c>
      <c r="D41" s="181">
        <f>SUM(D21:D40)</f>
        <v>25142.86</v>
      </c>
      <c r="E41" s="181">
        <f>SUM(E21:E40)</f>
        <v>19072.419999999998</v>
      </c>
      <c r="F41" s="181">
        <f>SUM(F21:F40)</f>
        <v>3537.2223999999997</v>
      </c>
      <c r="G41" s="227"/>
      <c r="H41" s="251"/>
      <c r="I41" s="248">
        <f t="shared" si="2"/>
        <v>0</v>
      </c>
      <c r="J41" s="389"/>
      <c r="K41" s="317">
        <f>SUM(K21:K40)</f>
        <v>0</v>
      </c>
      <c r="L41" s="227"/>
      <c r="M41" s="226"/>
    </row>
    <row r="42" spans="1:14" ht="16.5" customHeight="1" x14ac:dyDescent="0.25">
      <c r="A42" s="176">
        <v>1</v>
      </c>
      <c r="B42" s="73" t="s">
        <v>33</v>
      </c>
      <c r="C42" s="72">
        <v>2106.0100000000002</v>
      </c>
      <c r="D42" s="179">
        <f>ROUND(C42*A42,2)</f>
        <v>2106.0100000000002</v>
      </c>
      <c r="E42" s="72">
        <f>C42-D42</f>
        <v>0</v>
      </c>
      <c r="F42" s="72">
        <f>C42*8%</f>
        <v>168.48080000000002</v>
      </c>
      <c r="G42" s="74">
        <v>44449</v>
      </c>
      <c r="H42" s="74" t="e">
        <f>H40</f>
        <v>#REF!</v>
      </c>
      <c r="I42" s="244" t="e">
        <f t="shared" si="2"/>
        <v>#REF!</v>
      </c>
      <c r="J42" s="388">
        <f>J40</f>
        <v>0</v>
      </c>
      <c r="K42" s="72">
        <f t="shared" ref="K42:K71" si="11">SUM(E42)*J42</f>
        <v>0</v>
      </c>
      <c r="L42" s="71" t="s">
        <v>150</v>
      </c>
      <c r="M42" s="71" t="s">
        <v>152</v>
      </c>
    </row>
    <row r="43" spans="1:14" ht="16.5" customHeight="1" x14ac:dyDescent="0.25">
      <c r="A43" s="176">
        <v>1</v>
      </c>
      <c r="B43" s="73" t="s">
        <v>34</v>
      </c>
      <c r="C43" s="72">
        <v>1270.21</v>
      </c>
      <c r="D43" s="179">
        <f t="shared" si="5"/>
        <v>1270.21</v>
      </c>
      <c r="E43" s="72">
        <f t="shared" si="10"/>
        <v>0</v>
      </c>
      <c r="F43" s="72">
        <f t="shared" ref="F43:F101" si="12">C43*8%</f>
        <v>101.61680000000001</v>
      </c>
      <c r="G43" s="74">
        <v>44418</v>
      </c>
      <c r="H43" s="74" t="e">
        <f t="shared" si="4"/>
        <v>#REF!</v>
      </c>
      <c r="I43" s="244" t="e">
        <f t="shared" si="2"/>
        <v>#REF!</v>
      </c>
      <c r="J43" s="388">
        <f t="shared" si="3"/>
        <v>0</v>
      </c>
      <c r="K43" s="72">
        <f t="shared" si="11"/>
        <v>0</v>
      </c>
      <c r="L43" s="71" t="s">
        <v>158</v>
      </c>
      <c r="M43" s="71" t="s">
        <v>161</v>
      </c>
    </row>
    <row r="44" spans="1:14" ht="16.5" customHeight="1" x14ac:dyDescent="0.25">
      <c r="A44" s="176">
        <v>1</v>
      </c>
      <c r="B44" s="77" t="s">
        <v>16</v>
      </c>
      <c r="C44" s="72">
        <v>0.72</v>
      </c>
      <c r="D44" s="179">
        <f t="shared" si="5"/>
        <v>0.72</v>
      </c>
      <c r="E44" s="72">
        <f t="shared" si="10"/>
        <v>0</v>
      </c>
      <c r="F44" s="72">
        <f t="shared" si="12"/>
        <v>5.7599999999999998E-2</v>
      </c>
      <c r="G44" s="76">
        <v>44418</v>
      </c>
      <c r="H44" s="74" t="e">
        <f t="shared" si="4"/>
        <v>#REF!</v>
      </c>
      <c r="I44" s="244" t="e">
        <f t="shared" si="2"/>
        <v>#REF!</v>
      </c>
      <c r="J44" s="388">
        <f t="shared" si="3"/>
        <v>0</v>
      </c>
      <c r="K44" s="72">
        <f t="shared" si="11"/>
        <v>0</v>
      </c>
      <c r="L44" s="71" t="s">
        <v>158</v>
      </c>
      <c r="M44" s="71" t="s">
        <v>161</v>
      </c>
      <c r="N44" s="163"/>
    </row>
    <row r="45" spans="1:14" ht="16.5" customHeight="1" x14ac:dyDescent="0.25">
      <c r="A45" s="176">
        <v>1</v>
      </c>
      <c r="B45" s="73" t="s">
        <v>35</v>
      </c>
      <c r="C45" s="72">
        <v>102.54</v>
      </c>
      <c r="D45" s="179">
        <f t="shared" si="5"/>
        <v>102.54</v>
      </c>
      <c r="E45" s="72">
        <f t="shared" si="10"/>
        <v>0</v>
      </c>
      <c r="F45" s="72">
        <f t="shared" si="12"/>
        <v>8.2032000000000007</v>
      </c>
      <c r="G45" s="74">
        <v>44418</v>
      </c>
      <c r="H45" s="74" t="e">
        <f t="shared" si="4"/>
        <v>#REF!</v>
      </c>
      <c r="I45" s="244" t="e">
        <f t="shared" si="2"/>
        <v>#REF!</v>
      </c>
      <c r="J45" s="388">
        <f t="shared" si="3"/>
        <v>0</v>
      </c>
      <c r="K45" s="72">
        <f t="shared" si="11"/>
        <v>0</v>
      </c>
      <c r="L45" s="71" t="s">
        <v>158</v>
      </c>
      <c r="M45" s="71" t="s">
        <v>161</v>
      </c>
    </row>
    <row r="46" spans="1:14" ht="16.5" customHeight="1" x14ac:dyDescent="0.25">
      <c r="A46" s="176">
        <v>1</v>
      </c>
      <c r="B46" s="73" t="s">
        <v>37</v>
      </c>
      <c r="C46" s="72">
        <v>1533.01</v>
      </c>
      <c r="D46" s="179">
        <f t="shared" si="5"/>
        <v>1533.01</v>
      </c>
      <c r="E46" s="72">
        <f t="shared" si="10"/>
        <v>0</v>
      </c>
      <c r="F46" s="72">
        <f t="shared" si="12"/>
        <v>122.6408</v>
      </c>
      <c r="G46" s="74">
        <v>44418</v>
      </c>
      <c r="H46" s="74" t="e">
        <f t="shared" si="4"/>
        <v>#REF!</v>
      </c>
      <c r="I46" s="244" t="e">
        <f t="shared" si="2"/>
        <v>#REF!</v>
      </c>
      <c r="J46" s="388">
        <f t="shared" si="3"/>
        <v>0</v>
      </c>
      <c r="K46" s="72">
        <f t="shared" si="11"/>
        <v>0</v>
      </c>
      <c r="L46" s="71" t="s">
        <v>158</v>
      </c>
      <c r="M46" s="71" t="s">
        <v>161</v>
      </c>
    </row>
    <row r="47" spans="1:14" ht="16.5" customHeight="1" x14ac:dyDescent="0.25">
      <c r="A47" s="176">
        <v>1</v>
      </c>
      <c r="B47" s="73" t="s">
        <v>105</v>
      </c>
      <c r="C47" s="72">
        <v>954.49</v>
      </c>
      <c r="D47" s="179">
        <f t="shared" si="5"/>
        <v>954.49</v>
      </c>
      <c r="E47" s="72">
        <f t="shared" si="10"/>
        <v>0</v>
      </c>
      <c r="F47" s="72">
        <f t="shared" si="12"/>
        <v>76.359200000000001</v>
      </c>
      <c r="G47" s="74">
        <v>44418</v>
      </c>
      <c r="H47" s="74" t="e">
        <f t="shared" si="4"/>
        <v>#REF!</v>
      </c>
      <c r="I47" s="244" t="e">
        <f t="shared" si="2"/>
        <v>#REF!</v>
      </c>
      <c r="J47" s="388">
        <f t="shared" si="3"/>
        <v>0</v>
      </c>
      <c r="K47" s="72">
        <f t="shared" si="11"/>
        <v>0</v>
      </c>
      <c r="L47" s="71" t="s">
        <v>158</v>
      </c>
      <c r="M47" s="71" t="s">
        <v>161</v>
      </c>
    </row>
    <row r="48" spans="1:14" ht="16.5" customHeight="1" x14ac:dyDescent="0.25">
      <c r="A48" s="176">
        <v>1</v>
      </c>
      <c r="B48" s="73" t="s">
        <v>38</v>
      </c>
      <c r="C48" s="72">
        <v>2593.0700000000002</v>
      </c>
      <c r="D48" s="179">
        <v>1400</v>
      </c>
      <c r="E48" s="72">
        <f>C48-D49-D48</f>
        <v>0</v>
      </c>
      <c r="F48" s="72">
        <f t="shared" si="12"/>
        <v>207.44560000000001</v>
      </c>
      <c r="G48" s="74">
        <v>44419</v>
      </c>
      <c r="H48" s="74" t="e">
        <f t="shared" si="4"/>
        <v>#REF!</v>
      </c>
      <c r="I48" s="244" t="e">
        <f t="shared" si="2"/>
        <v>#REF!</v>
      </c>
      <c r="J48" s="388">
        <f t="shared" si="3"/>
        <v>0</v>
      </c>
      <c r="K48" s="72">
        <f t="shared" si="11"/>
        <v>0</v>
      </c>
      <c r="L48" s="71" t="s">
        <v>150</v>
      </c>
      <c r="M48" s="71" t="s">
        <v>154</v>
      </c>
    </row>
    <row r="49" spans="1:14" ht="16.5" customHeight="1" x14ac:dyDescent="0.25">
      <c r="A49" s="176">
        <v>1</v>
      </c>
      <c r="B49" s="73" t="s">
        <v>38</v>
      </c>
      <c r="C49" s="72">
        <v>0</v>
      </c>
      <c r="D49" s="179">
        <f>ROUND(C48*A48,2)-D48</f>
        <v>1193.0700000000002</v>
      </c>
      <c r="E49" s="72"/>
      <c r="F49" s="72">
        <f t="shared" si="12"/>
        <v>0</v>
      </c>
      <c r="G49" s="74">
        <v>44449</v>
      </c>
      <c r="H49" s="74" t="e">
        <f t="shared" si="4"/>
        <v>#REF!</v>
      </c>
      <c r="I49" s="244" t="e">
        <f t="shared" si="2"/>
        <v>#REF!</v>
      </c>
      <c r="J49" s="388">
        <f t="shared" si="3"/>
        <v>0</v>
      </c>
      <c r="K49" s="72">
        <f t="shared" si="11"/>
        <v>0</v>
      </c>
      <c r="L49" s="71" t="s">
        <v>150</v>
      </c>
      <c r="M49" s="71" t="s">
        <v>154</v>
      </c>
    </row>
    <row r="50" spans="1:14" ht="16.5" customHeight="1" x14ac:dyDescent="0.25">
      <c r="A50" s="176">
        <v>1</v>
      </c>
      <c r="B50" s="73" t="s">
        <v>39</v>
      </c>
      <c r="C50" s="72">
        <v>5.28</v>
      </c>
      <c r="D50" s="179">
        <f t="shared" ref="D50:D106" si="13">ROUND(C50*A50,2)</f>
        <v>5.28</v>
      </c>
      <c r="E50" s="72">
        <f t="shared" si="10"/>
        <v>0</v>
      </c>
      <c r="F50" s="72">
        <f t="shared" si="12"/>
        <v>0.42240000000000005</v>
      </c>
      <c r="G50" s="74">
        <v>44418</v>
      </c>
      <c r="H50" s="74" t="e">
        <f t="shared" si="4"/>
        <v>#REF!</v>
      </c>
      <c r="I50" s="244" t="e">
        <f t="shared" si="2"/>
        <v>#REF!</v>
      </c>
      <c r="J50" s="388">
        <f t="shared" si="3"/>
        <v>0</v>
      </c>
      <c r="K50" s="72">
        <f t="shared" si="11"/>
        <v>0</v>
      </c>
      <c r="L50" s="71" t="s">
        <v>158</v>
      </c>
      <c r="M50" s="71" t="s">
        <v>161</v>
      </c>
      <c r="N50" s="165"/>
    </row>
    <row r="51" spans="1:14" ht="16.5" customHeight="1" x14ac:dyDescent="0.25">
      <c r="A51" s="176">
        <v>1</v>
      </c>
      <c r="B51" s="73" t="s">
        <v>40</v>
      </c>
      <c r="C51" s="72">
        <v>9.76</v>
      </c>
      <c r="D51" s="179">
        <f t="shared" si="13"/>
        <v>9.76</v>
      </c>
      <c r="E51" s="72">
        <f t="shared" si="10"/>
        <v>0</v>
      </c>
      <c r="F51" s="72">
        <f t="shared" si="12"/>
        <v>0.78080000000000005</v>
      </c>
      <c r="G51" s="74">
        <v>44418</v>
      </c>
      <c r="H51" s="74" t="e">
        <f t="shared" si="4"/>
        <v>#REF!</v>
      </c>
      <c r="I51" s="244" t="e">
        <f t="shared" si="2"/>
        <v>#REF!</v>
      </c>
      <c r="J51" s="388">
        <f t="shared" si="3"/>
        <v>0</v>
      </c>
      <c r="K51" s="72">
        <f t="shared" si="11"/>
        <v>0</v>
      </c>
      <c r="L51" s="71" t="s">
        <v>158</v>
      </c>
      <c r="M51" s="71" t="s">
        <v>161</v>
      </c>
    </row>
    <row r="52" spans="1:14" ht="16.5" customHeight="1" x14ac:dyDescent="0.25">
      <c r="A52" s="176">
        <v>1</v>
      </c>
      <c r="B52" s="73" t="s">
        <v>41</v>
      </c>
      <c r="C52" s="72">
        <v>1031.99</v>
      </c>
      <c r="D52" s="179">
        <f t="shared" si="13"/>
        <v>1031.99</v>
      </c>
      <c r="E52" s="72">
        <f t="shared" si="10"/>
        <v>0</v>
      </c>
      <c r="F52" s="72">
        <f t="shared" si="12"/>
        <v>82.559200000000004</v>
      </c>
      <c r="G52" s="74">
        <v>44418</v>
      </c>
      <c r="H52" s="74" t="e">
        <f t="shared" si="4"/>
        <v>#REF!</v>
      </c>
      <c r="I52" s="244" t="e">
        <f t="shared" si="2"/>
        <v>#REF!</v>
      </c>
      <c r="J52" s="388">
        <f t="shared" si="3"/>
        <v>0</v>
      </c>
      <c r="K52" s="72">
        <f t="shared" si="11"/>
        <v>0</v>
      </c>
      <c r="L52" s="71" t="s">
        <v>158</v>
      </c>
      <c r="M52" s="71" t="s">
        <v>161</v>
      </c>
    </row>
    <row r="53" spans="1:14" ht="16.5" customHeight="1" x14ac:dyDescent="0.25">
      <c r="A53" s="176">
        <v>1</v>
      </c>
      <c r="B53" s="73" t="s">
        <v>42</v>
      </c>
      <c r="C53" s="72">
        <v>1532.97</v>
      </c>
      <c r="D53" s="179">
        <f t="shared" si="13"/>
        <v>1532.97</v>
      </c>
      <c r="E53" s="72">
        <f t="shared" si="10"/>
        <v>0</v>
      </c>
      <c r="F53" s="72">
        <f t="shared" si="12"/>
        <v>122.63760000000001</v>
      </c>
      <c r="G53" s="74">
        <v>44418</v>
      </c>
      <c r="H53" s="74" t="e">
        <f t="shared" si="4"/>
        <v>#REF!</v>
      </c>
      <c r="I53" s="244" t="e">
        <f t="shared" si="2"/>
        <v>#REF!</v>
      </c>
      <c r="J53" s="388">
        <f t="shared" si="3"/>
        <v>0</v>
      </c>
      <c r="K53" s="72">
        <f t="shared" si="11"/>
        <v>0</v>
      </c>
      <c r="L53" s="71" t="s">
        <v>158</v>
      </c>
      <c r="M53" s="71" t="s">
        <v>161</v>
      </c>
    </row>
    <row r="54" spans="1:14" ht="16.5" customHeight="1" x14ac:dyDescent="0.25">
      <c r="A54" s="176">
        <v>1</v>
      </c>
      <c r="B54" s="73" t="s">
        <v>43</v>
      </c>
      <c r="C54" s="72">
        <v>51.27</v>
      </c>
      <c r="D54" s="179">
        <f t="shared" si="13"/>
        <v>51.27</v>
      </c>
      <c r="E54" s="72">
        <f t="shared" si="10"/>
        <v>0</v>
      </c>
      <c r="F54" s="72">
        <f t="shared" si="12"/>
        <v>4.1016000000000004</v>
      </c>
      <c r="G54" s="74">
        <v>44445</v>
      </c>
      <c r="H54" s="74" t="e">
        <f t="shared" si="4"/>
        <v>#REF!</v>
      </c>
      <c r="I54" s="244" t="e">
        <f t="shared" si="2"/>
        <v>#REF!</v>
      </c>
      <c r="J54" s="388">
        <f t="shared" si="3"/>
        <v>0</v>
      </c>
      <c r="K54" s="72">
        <f t="shared" si="11"/>
        <v>0</v>
      </c>
      <c r="L54" s="71" t="s">
        <v>170</v>
      </c>
      <c r="M54" s="71" t="s">
        <v>170</v>
      </c>
    </row>
    <row r="55" spans="1:14" ht="16.5" customHeight="1" x14ac:dyDescent="0.25">
      <c r="A55" s="176">
        <v>1</v>
      </c>
      <c r="B55" s="73" t="s">
        <v>44</v>
      </c>
      <c r="C55" s="72">
        <v>4.93</v>
      </c>
      <c r="D55" s="179">
        <f>ROUND(C55*A55,2)</f>
        <v>4.93</v>
      </c>
      <c r="E55" s="72">
        <f>C55-D55</f>
        <v>0</v>
      </c>
      <c r="F55" s="72">
        <f t="shared" si="12"/>
        <v>0.39439999999999997</v>
      </c>
      <c r="G55" s="74">
        <v>44418</v>
      </c>
      <c r="H55" s="74" t="e">
        <f t="shared" si="4"/>
        <v>#REF!</v>
      </c>
      <c r="I55" s="244" t="e">
        <f t="shared" si="2"/>
        <v>#REF!</v>
      </c>
      <c r="J55" s="388">
        <f t="shared" si="3"/>
        <v>0</v>
      </c>
      <c r="K55" s="72">
        <f t="shared" si="11"/>
        <v>0</v>
      </c>
      <c r="L55" s="71" t="s">
        <v>158</v>
      </c>
      <c r="M55" s="71" t="s">
        <v>161</v>
      </c>
    </row>
    <row r="56" spans="1:14" ht="16.5" customHeight="1" x14ac:dyDescent="0.25">
      <c r="A56" s="176">
        <v>1</v>
      </c>
      <c r="B56" s="73" t="s">
        <v>46</v>
      </c>
      <c r="C56" s="72">
        <v>5.28</v>
      </c>
      <c r="D56" s="179">
        <f t="shared" si="13"/>
        <v>5.28</v>
      </c>
      <c r="E56" s="72">
        <f t="shared" si="10"/>
        <v>0</v>
      </c>
      <c r="F56" s="72">
        <f t="shared" si="12"/>
        <v>0.42240000000000005</v>
      </c>
      <c r="G56" s="74">
        <v>44418</v>
      </c>
      <c r="H56" s="74" t="e">
        <f>#REF!</f>
        <v>#REF!</v>
      </c>
      <c r="I56" s="244" t="e">
        <f t="shared" si="2"/>
        <v>#REF!</v>
      </c>
      <c r="J56" s="388">
        <f>J55</f>
        <v>0</v>
      </c>
      <c r="K56" s="72">
        <f t="shared" si="11"/>
        <v>0</v>
      </c>
      <c r="L56" s="71" t="s">
        <v>158</v>
      </c>
      <c r="M56" s="71" t="s">
        <v>161</v>
      </c>
    </row>
    <row r="57" spans="1:14" ht="16.5" customHeight="1" x14ac:dyDescent="0.25">
      <c r="A57" s="176">
        <v>1</v>
      </c>
      <c r="B57" s="73" t="s">
        <v>47</v>
      </c>
      <c r="C57" s="72">
        <v>6.63</v>
      </c>
      <c r="D57" s="179">
        <f t="shared" si="13"/>
        <v>6.63</v>
      </c>
      <c r="E57" s="72">
        <f t="shared" si="10"/>
        <v>0</v>
      </c>
      <c r="F57" s="72">
        <f t="shared" si="12"/>
        <v>0.53039999999999998</v>
      </c>
      <c r="G57" s="76">
        <v>44418</v>
      </c>
      <c r="H57" s="74" t="e">
        <f t="shared" si="4"/>
        <v>#REF!</v>
      </c>
      <c r="I57" s="244" t="e">
        <f t="shared" si="2"/>
        <v>#REF!</v>
      </c>
      <c r="J57" s="388">
        <f t="shared" si="3"/>
        <v>0</v>
      </c>
      <c r="K57" s="72">
        <f t="shared" si="11"/>
        <v>0</v>
      </c>
      <c r="L57" s="71" t="s">
        <v>158</v>
      </c>
      <c r="M57" s="71" t="s">
        <v>161</v>
      </c>
    </row>
    <row r="58" spans="1:14" ht="16.5" customHeight="1" x14ac:dyDescent="0.25">
      <c r="A58" s="176">
        <v>1</v>
      </c>
      <c r="B58" s="77" t="s">
        <v>2</v>
      </c>
      <c r="C58" s="72">
        <v>7.14</v>
      </c>
      <c r="D58" s="179">
        <f>ROUND(C58*A58,2)</f>
        <v>7.14</v>
      </c>
      <c r="E58" s="72">
        <f>C58-D58</f>
        <v>0</v>
      </c>
      <c r="F58" s="72">
        <f t="shared" si="12"/>
        <v>0.57120000000000004</v>
      </c>
      <c r="G58" s="76">
        <v>44418</v>
      </c>
      <c r="H58" s="74" t="e">
        <f t="shared" si="4"/>
        <v>#REF!</v>
      </c>
      <c r="I58" s="244" t="e">
        <f t="shared" si="2"/>
        <v>#REF!</v>
      </c>
      <c r="J58" s="388">
        <f t="shared" si="3"/>
        <v>0</v>
      </c>
      <c r="K58" s="72">
        <f t="shared" si="11"/>
        <v>0</v>
      </c>
      <c r="L58" s="71" t="s">
        <v>158</v>
      </c>
      <c r="M58" s="71" t="s">
        <v>161</v>
      </c>
    </row>
    <row r="59" spans="1:14" ht="16.5" customHeight="1" x14ac:dyDescent="0.25">
      <c r="A59" s="176">
        <v>1</v>
      </c>
      <c r="B59" s="77" t="s">
        <v>49</v>
      </c>
      <c r="C59" s="72">
        <v>2.85</v>
      </c>
      <c r="D59" s="179">
        <f>ROUND(C59*A59,2)</f>
        <v>2.85</v>
      </c>
      <c r="E59" s="72">
        <f>C59-D59</f>
        <v>0</v>
      </c>
      <c r="F59" s="72">
        <f t="shared" si="12"/>
        <v>0.22800000000000001</v>
      </c>
      <c r="G59" s="76">
        <v>44418</v>
      </c>
      <c r="H59" s="74" t="e">
        <f t="shared" si="4"/>
        <v>#REF!</v>
      </c>
      <c r="I59" s="244" t="e">
        <f t="shared" si="2"/>
        <v>#REF!</v>
      </c>
      <c r="J59" s="388">
        <f t="shared" si="3"/>
        <v>0</v>
      </c>
      <c r="K59" s="72">
        <f t="shared" si="11"/>
        <v>0</v>
      </c>
      <c r="L59" s="71" t="s">
        <v>158</v>
      </c>
      <c r="M59" s="71" t="s">
        <v>161</v>
      </c>
    </row>
    <row r="60" spans="1:14" ht="16.5" customHeight="1" x14ac:dyDescent="0.25">
      <c r="A60" s="176">
        <v>1</v>
      </c>
      <c r="B60" s="73" t="s">
        <v>50</v>
      </c>
      <c r="C60" s="72">
        <v>1529.21</v>
      </c>
      <c r="D60" s="179">
        <f t="shared" si="13"/>
        <v>1529.21</v>
      </c>
      <c r="E60" s="72">
        <f t="shared" si="10"/>
        <v>0</v>
      </c>
      <c r="F60" s="72">
        <f t="shared" si="12"/>
        <v>122.33680000000001</v>
      </c>
      <c r="G60" s="74">
        <v>44418</v>
      </c>
      <c r="H60" s="74" t="e">
        <f t="shared" si="4"/>
        <v>#REF!</v>
      </c>
      <c r="I60" s="244" t="e">
        <f t="shared" si="2"/>
        <v>#REF!</v>
      </c>
      <c r="J60" s="388">
        <f t="shared" si="3"/>
        <v>0</v>
      </c>
      <c r="K60" s="72">
        <f t="shared" si="11"/>
        <v>0</v>
      </c>
      <c r="L60" s="71" t="s">
        <v>158</v>
      </c>
      <c r="M60" s="71" t="s">
        <v>161</v>
      </c>
    </row>
    <row r="61" spans="1:14" ht="16.5" customHeight="1" x14ac:dyDescent="0.25">
      <c r="A61" s="176">
        <v>1</v>
      </c>
      <c r="B61" s="73" t="s">
        <v>51</v>
      </c>
      <c r="C61" s="72">
        <v>55.75</v>
      </c>
      <c r="D61" s="179">
        <f>ROUND(C61*A61,2)</f>
        <v>55.75</v>
      </c>
      <c r="E61" s="72">
        <f>C61-D61</f>
        <v>0</v>
      </c>
      <c r="F61" s="72">
        <f t="shared" si="12"/>
        <v>4.46</v>
      </c>
      <c r="G61" s="74">
        <v>44418</v>
      </c>
      <c r="H61" s="74" t="e">
        <f t="shared" si="4"/>
        <v>#REF!</v>
      </c>
      <c r="I61" s="244" t="e">
        <f t="shared" si="2"/>
        <v>#REF!</v>
      </c>
      <c r="J61" s="388">
        <f t="shared" si="3"/>
        <v>0</v>
      </c>
      <c r="K61" s="72">
        <f t="shared" si="11"/>
        <v>0</v>
      </c>
      <c r="L61" s="71" t="s">
        <v>158</v>
      </c>
      <c r="M61" s="71" t="s">
        <v>161</v>
      </c>
    </row>
    <row r="62" spans="1:14" ht="16.5" customHeight="1" x14ac:dyDescent="0.25">
      <c r="A62" s="176">
        <v>1</v>
      </c>
      <c r="B62" s="73" t="s">
        <v>52</v>
      </c>
      <c r="C62" s="72">
        <v>54.63</v>
      </c>
      <c r="D62" s="179">
        <f>ROUND(C62*A62,2)</f>
        <v>54.63</v>
      </c>
      <c r="E62" s="72">
        <f>C62-D62</f>
        <v>0</v>
      </c>
      <c r="F62" s="72">
        <f t="shared" si="12"/>
        <v>4.3704000000000001</v>
      </c>
      <c r="G62" s="74">
        <v>44418</v>
      </c>
      <c r="H62" s="74" t="e">
        <f t="shared" si="4"/>
        <v>#REF!</v>
      </c>
      <c r="I62" s="244" t="e">
        <f t="shared" si="2"/>
        <v>#REF!</v>
      </c>
      <c r="J62" s="388">
        <f t="shared" si="3"/>
        <v>0</v>
      </c>
      <c r="K62" s="72">
        <f t="shared" si="11"/>
        <v>0</v>
      </c>
      <c r="L62" s="71" t="s">
        <v>158</v>
      </c>
      <c r="M62" s="71" t="s">
        <v>161</v>
      </c>
    </row>
    <row r="63" spans="1:14" ht="16.5" customHeight="1" x14ac:dyDescent="0.25">
      <c r="A63" s="176">
        <v>1</v>
      </c>
      <c r="B63" s="73" t="s">
        <v>53</v>
      </c>
      <c r="C63" s="72">
        <v>2164.9899999999998</v>
      </c>
      <c r="D63" s="179">
        <f>ROUND(C63*A63,2)</f>
        <v>2164.9899999999998</v>
      </c>
      <c r="E63" s="72">
        <v>0</v>
      </c>
      <c r="F63" s="72">
        <f t="shared" si="12"/>
        <v>173.19919999999999</v>
      </c>
      <c r="G63" s="74">
        <v>44449</v>
      </c>
      <c r="H63" s="74" t="e">
        <f t="shared" si="4"/>
        <v>#REF!</v>
      </c>
      <c r="I63" s="244" t="e">
        <f t="shared" si="2"/>
        <v>#REF!</v>
      </c>
      <c r="J63" s="388">
        <f t="shared" si="3"/>
        <v>0</v>
      </c>
      <c r="K63" s="72">
        <f t="shared" si="11"/>
        <v>0</v>
      </c>
      <c r="L63" s="71" t="s">
        <v>150</v>
      </c>
      <c r="M63" s="71" t="s">
        <v>154</v>
      </c>
    </row>
    <row r="64" spans="1:14" ht="16.5" customHeight="1" x14ac:dyDescent="0.25">
      <c r="A64" s="176">
        <v>1</v>
      </c>
      <c r="B64" s="73" t="s">
        <v>54</v>
      </c>
      <c r="C64" s="72">
        <v>7.92</v>
      </c>
      <c r="D64" s="179">
        <f t="shared" si="13"/>
        <v>7.92</v>
      </c>
      <c r="E64" s="72">
        <f t="shared" si="10"/>
        <v>0</v>
      </c>
      <c r="F64" s="72">
        <f t="shared" si="12"/>
        <v>0.63360000000000005</v>
      </c>
      <c r="G64" s="74">
        <v>44418</v>
      </c>
      <c r="H64" s="74" t="e">
        <f t="shared" si="4"/>
        <v>#REF!</v>
      </c>
      <c r="I64" s="244" t="e">
        <f t="shared" si="2"/>
        <v>#REF!</v>
      </c>
      <c r="J64" s="388">
        <f t="shared" si="3"/>
        <v>0</v>
      </c>
      <c r="K64" s="72">
        <f t="shared" si="11"/>
        <v>0</v>
      </c>
      <c r="L64" s="71" t="s">
        <v>158</v>
      </c>
      <c r="M64" s="71" t="s">
        <v>161</v>
      </c>
    </row>
    <row r="65" spans="1:13" ht="16.5" customHeight="1" x14ac:dyDescent="0.25">
      <c r="A65" s="176">
        <v>1</v>
      </c>
      <c r="B65" s="73" t="s">
        <v>55</v>
      </c>
      <c r="C65" s="72">
        <v>4.33</v>
      </c>
      <c r="D65" s="179">
        <f t="shared" si="13"/>
        <v>4.33</v>
      </c>
      <c r="E65" s="72">
        <f t="shared" si="10"/>
        <v>0</v>
      </c>
      <c r="F65" s="72">
        <f t="shared" si="12"/>
        <v>0.34639999999999999</v>
      </c>
      <c r="G65" s="74">
        <v>44418</v>
      </c>
      <c r="H65" s="74" t="e">
        <f t="shared" si="4"/>
        <v>#REF!</v>
      </c>
      <c r="I65" s="244" t="e">
        <f t="shared" si="2"/>
        <v>#REF!</v>
      </c>
      <c r="J65" s="388">
        <f t="shared" si="3"/>
        <v>0</v>
      </c>
      <c r="K65" s="72">
        <f t="shared" si="11"/>
        <v>0</v>
      </c>
      <c r="L65" s="71" t="s">
        <v>158</v>
      </c>
      <c r="M65" s="71" t="s">
        <v>161</v>
      </c>
    </row>
    <row r="66" spans="1:13" ht="16.5" customHeight="1" x14ac:dyDescent="0.25">
      <c r="A66" s="176">
        <v>1</v>
      </c>
      <c r="B66" s="73" t="s">
        <v>56</v>
      </c>
      <c r="C66" s="72">
        <v>1213.83</v>
      </c>
      <c r="D66" s="179">
        <f>ROUND(C66*A66,2)</f>
        <v>1213.83</v>
      </c>
      <c r="E66" s="72">
        <f>C66-D66</f>
        <v>0</v>
      </c>
      <c r="F66" s="72">
        <f t="shared" si="12"/>
        <v>97.106399999999994</v>
      </c>
      <c r="G66" s="74">
        <v>44449</v>
      </c>
      <c r="H66" s="74" t="e">
        <f t="shared" si="4"/>
        <v>#REF!</v>
      </c>
      <c r="I66" s="244" t="e">
        <f t="shared" ref="I66:I111" si="14">G66-H66</f>
        <v>#REF!</v>
      </c>
      <c r="J66" s="388">
        <f t="shared" si="3"/>
        <v>0</v>
      </c>
      <c r="K66" s="72">
        <f t="shared" si="11"/>
        <v>0</v>
      </c>
      <c r="L66" s="71" t="s">
        <v>150</v>
      </c>
      <c r="M66" s="71" t="s">
        <v>154</v>
      </c>
    </row>
    <row r="67" spans="1:13" ht="16.5" customHeight="1" x14ac:dyDescent="0.25">
      <c r="A67" s="176">
        <v>1</v>
      </c>
      <c r="B67" s="73" t="s">
        <v>57</v>
      </c>
      <c r="C67" s="72">
        <v>4.1500000000000004</v>
      </c>
      <c r="D67" s="179">
        <f t="shared" si="13"/>
        <v>4.1500000000000004</v>
      </c>
      <c r="E67" s="72">
        <f t="shared" si="10"/>
        <v>0</v>
      </c>
      <c r="F67" s="72">
        <f t="shared" si="12"/>
        <v>0.33200000000000002</v>
      </c>
      <c r="G67" s="74">
        <v>44418</v>
      </c>
      <c r="H67" s="74" t="e">
        <f t="shared" si="4"/>
        <v>#REF!</v>
      </c>
      <c r="I67" s="244" t="e">
        <f t="shared" si="14"/>
        <v>#REF!</v>
      </c>
      <c r="J67" s="388">
        <f t="shared" ref="J67:J111" si="15">J66</f>
        <v>0</v>
      </c>
      <c r="K67" s="72">
        <f t="shared" si="11"/>
        <v>0</v>
      </c>
      <c r="L67" s="71" t="s">
        <v>158</v>
      </c>
      <c r="M67" s="71" t="s">
        <v>161</v>
      </c>
    </row>
    <row r="68" spans="1:13" ht="16.5" customHeight="1" x14ac:dyDescent="0.25">
      <c r="A68" s="176">
        <v>1</v>
      </c>
      <c r="B68" s="73" t="s">
        <v>58</v>
      </c>
      <c r="C68" s="72">
        <v>3.87</v>
      </c>
      <c r="D68" s="179">
        <f t="shared" si="13"/>
        <v>3.87</v>
      </c>
      <c r="E68" s="72">
        <f t="shared" si="10"/>
        <v>0</v>
      </c>
      <c r="F68" s="72">
        <f t="shared" si="12"/>
        <v>0.30960000000000004</v>
      </c>
      <c r="G68" s="74">
        <v>44418</v>
      </c>
      <c r="H68" s="74" t="e">
        <f t="shared" ref="H68:H111" si="16">H67</f>
        <v>#REF!</v>
      </c>
      <c r="I68" s="244" t="e">
        <f t="shared" si="14"/>
        <v>#REF!</v>
      </c>
      <c r="J68" s="388">
        <f t="shared" si="15"/>
        <v>0</v>
      </c>
      <c r="K68" s="72">
        <f t="shared" si="11"/>
        <v>0</v>
      </c>
      <c r="L68" s="71" t="s">
        <v>158</v>
      </c>
      <c r="M68" s="71" t="s">
        <v>161</v>
      </c>
    </row>
    <row r="69" spans="1:13" s="64" customFormat="1" ht="16.5" customHeight="1" x14ac:dyDescent="0.25">
      <c r="A69" s="176">
        <v>1</v>
      </c>
      <c r="B69" s="73" t="s">
        <v>59</v>
      </c>
      <c r="C69" s="72">
        <v>4.33</v>
      </c>
      <c r="D69" s="179">
        <f>ROUND(C69*A69,2)</f>
        <v>4.33</v>
      </c>
      <c r="E69" s="72">
        <f>C69-D69</f>
        <v>0</v>
      </c>
      <c r="F69" s="72">
        <f t="shared" si="12"/>
        <v>0.34639999999999999</v>
      </c>
      <c r="G69" s="74">
        <v>44418</v>
      </c>
      <c r="H69" s="74" t="e">
        <f t="shared" si="16"/>
        <v>#REF!</v>
      </c>
      <c r="I69" s="244" t="e">
        <f t="shared" si="14"/>
        <v>#REF!</v>
      </c>
      <c r="J69" s="388">
        <f t="shared" si="15"/>
        <v>0</v>
      </c>
      <c r="K69" s="72">
        <f t="shared" si="11"/>
        <v>0</v>
      </c>
      <c r="L69" s="71" t="s">
        <v>158</v>
      </c>
      <c r="M69" s="71" t="s">
        <v>161</v>
      </c>
    </row>
    <row r="70" spans="1:13" ht="16.5" customHeight="1" x14ac:dyDescent="0.25">
      <c r="A70" s="176">
        <v>1</v>
      </c>
      <c r="B70" s="73" t="s">
        <v>61</v>
      </c>
      <c r="C70" s="72">
        <v>54.11</v>
      </c>
      <c r="D70" s="179">
        <f t="shared" si="13"/>
        <v>54.11</v>
      </c>
      <c r="E70" s="72">
        <f t="shared" ref="E70:E101" si="17">C70-D70</f>
        <v>0</v>
      </c>
      <c r="F70" s="72">
        <f t="shared" si="12"/>
        <v>4.3288000000000002</v>
      </c>
      <c r="G70" s="74">
        <v>44418</v>
      </c>
      <c r="H70" s="74" t="e">
        <f t="shared" si="16"/>
        <v>#REF!</v>
      </c>
      <c r="I70" s="244" t="e">
        <f t="shared" si="14"/>
        <v>#REF!</v>
      </c>
      <c r="J70" s="388">
        <f t="shared" si="15"/>
        <v>0</v>
      </c>
      <c r="K70" s="72">
        <f t="shared" si="11"/>
        <v>0</v>
      </c>
      <c r="L70" s="71" t="s">
        <v>158</v>
      </c>
      <c r="M70" s="71" t="s">
        <v>161</v>
      </c>
    </row>
    <row r="71" spans="1:13" ht="16.5" customHeight="1" x14ac:dyDescent="0.25">
      <c r="A71" s="176">
        <v>1</v>
      </c>
      <c r="B71" s="73" t="s">
        <v>62</v>
      </c>
      <c r="C71" s="72">
        <v>2.85</v>
      </c>
      <c r="D71" s="179">
        <f t="shared" si="13"/>
        <v>2.85</v>
      </c>
      <c r="E71" s="72">
        <f t="shared" si="17"/>
        <v>0</v>
      </c>
      <c r="F71" s="72">
        <f t="shared" si="12"/>
        <v>0.22800000000000001</v>
      </c>
      <c r="G71" s="74">
        <v>44418</v>
      </c>
      <c r="H71" s="74" t="e">
        <f t="shared" si="16"/>
        <v>#REF!</v>
      </c>
      <c r="I71" s="244" t="e">
        <f t="shared" si="14"/>
        <v>#REF!</v>
      </c>
      <c r="J71" s="388">
        <f t="shared" si="15"/>
        <v>0</v>
      </c>
      <c r="K71" s="72">
        <f t="shared" si="11"/>
        <v>0</v>
      </c>
      <c r="L71" s="71" t="s">
        <v>158</v>
      </c>
      <c r="M71" s="71" t="s">
        <v>161</v>
      </c>
    </row>
    <row r="72" spans="1:13" ht="16.5" customHeight="1" x14ac:dyDescent="0.25">
      <c r="A72" s="176">
        <v>1</v>
      </c>
      <c r="B72" s="73" t="s">
        <v>64</v>
      </c>
      <c r="C72" s="72">
        <v>10.79</v>
      </c>
      <c r="D72" s="179">
        <f t="shared" si="13"/>
        <v>10.79</v>
      </c>
      <c r="E72" s="72">
        <f t="shared" si="17"/>
        <v>0</v>
      </c>
      <c r="F72" s="72">
        <f t="shared" si="12"/>
        <v>0.86319999999999997</v>
      </c>
      <c r="G72" s="74">
        <v>44418</v>
      </c>
      <c r="H72" s="74" t="e">
        <f t="shared" si="16"/>
        <v>#REF!</v>
      </c>
      <c r="I72" s="244" t="e">
        <f t="shared" si="14"/>
        <v>#REF!</v>
      </c>
      <c r="J72" s="388">
        <f t="shared" si="15"/>
        <v>0</v>
      </c>
      <c r="K72" s="72">
        <f t="shared" ref="K72:K100" si="18">SUM(E72)*J72</f>
        <v>0</v>
      </c>
      <c r="L72" s="71" t="s">
        <v>158</v>
      </c>
      <c r="M72" s="71" t="s">
        <v>161</v>
      </c>
    </row>
    <row r="73" spans="1:13" ht="16.5" customHeight="1" x14ac:dyDescent="0.25">
      <c r="A73" s="176">
        <v>1</v>
      </c>
      <c r="B73" s="73" t="s">
        <v>65</v>
      </c>
      <c r="C73" s="72">
        <v>467.89</v>
      </c>
      <c r="D73" s="179">
        <f t="shared" si="13"/>
        <v>467.89</v>
      </c>
      <c r="E73" s="72">
        <f t="shared" si="17"/>
        <v>0</v>
      </c>
      <c r="F73" s="72">
        <f t="shared" si="12"/>
        <v>37.431199999999997</v>
      </c>
      <c r="G73" s="74">
        <v>44418</v>
      </c>
      <c r="H73" s="74" t="e">
        <f t="shared" si="16"/>
        <v>#REF!</v>
      </c>
      <c r="I73" s="244" t="e">
        <f t="shared" si="14"/>
        <v>#REF!</v>
      </c>
      <c r="J73" s="388">
        <f t="shared" si="15"/>
        <v>0</v>
      </c>
      <c r="K73" s="72">
        <f t="shared" si="18"/>
        <v>0</v>
      </c>
      <c r="L73" s="71" t="s">
        <v>158</v>
      </c>
      <c r="M73" s="71" t="s">
        <v>161</v>
      </c>
    </row>
    <row r="74" spans="1:13" ht="16.5" customHeight="1" x14ac:dyDescent="0.25">
      <c r="A74" s="176">
        <v>1</v>
      </c>
      <c r="B74" s="73" t="s">
        <v>66</v>
      </c>
      <c r="C74" s="72">
        <v>1040.6400000000001</v>
      </c>
      <c r="D74" s="179">
        <f t="shared" si="13"/>
        <v>1040.6400000000001</v>
      </c>
      <c r="E74" s="72">
        <f t="shared" si="17"/>
        <v>0</v>
      </c>
      <c r="F74" s="72">
        <f t="shared" si="12"/>
        <v>83.251200000000011</v>
      </c>
      <c r="G74" s="74">
        <v>44449</v>
      </c>
      <c r="H74" s="74" t="e">
        <f t="shared" si="16"/>
        <v>#REF!</v>
      </c>
      <c r="I74" s="244" t="e">
        <f t="shared" si="14"/>
        <v>#REF!</v>
      </c>
      <c r="J74" s="388">
        <f t="shared" si="15"/>
        <v>0</v>
      </c>
      <c r="K74" s="72">
        <f t="shared" si="18"/>
        <v>0</v>
      </c>
      <c r="L74" s="71" t="s">
        <v>150</v>
      </c>
      <c r="M74" s="71" t="s">
        <v>154</v>
      </c>
    </row>
    <row r="75" spans="1:13" ht="16.5" customHeight="1" x14ac:dyDescent="0.25">
      <c r="A75" s="176">
        <v>1</v>
      </c>
      <c r="B75" s="73" t="s">
        <v>67</v>
      </c>
      <c r="C75" s="72">
        <v>766.96</v>
      </c>
      <c r="D75" s="179">
        <f t="shared" si="13"/>
        <v>766.96</v>
      </c>
      <c r="E75" s="72">
        <f t="shared" si="17"/>
        <v>0</v>
      </c>
      <c r="F75" s="72">
        <f t="shared" si="12"/>
        <v>61.356800000000007</v>
      </c>
      <c r="G75" s="74">
        <v>44418</v>
      </c>
      <c r="H75" s="74" t="e">
        <f t="shared" si="16"/>
        <v>#REF!</v>
      </c>
      <c r="I75" s="244" t="e">
        <f t="shared" si="14"/>
        <v>#REF!</v>
      </c>
      <c r="J75" s="388">
        <f t="shared" si="15"/>
        <v>0</v>
      </c>
      <c r="K75" s="72">
        <f t="shared" si="18"/>
        <v>0</v>
      </c>
      <c r="L75" s="71" t="s">
        <v>158</v>
      </c>
      <c r="M75" s="71" t="s">
        <v>161</v>
      </c>
    </row>
    <row r="76" spans="1:13" ht="16.5" customHeight="1" x14ac:dyDescent="0.25">
      <c r="A76" s="176">
        <v>1</v>
      </c>
      <c r="B76" s="73" t="s">
        <v>68</v>
      </c>
      <c r="C76" s="72">
        <v>684.67</v>
      </c>
      <c r="D76" s="179">
        <f t="shared" si="13"/>
        <v>684.67</v>
      </c>
      <c r="E76" s="72">
        <f t="shared" si="17"/>
        <v>0</v>
      </c>
      <c r="F76" s="72">
        <f t="shared" si="12"/>
        <v>54.773599999999995</v>
      </c>
      <c r="G76" s="74">
        <v>44418</v>
      </c>
      <c r="H76" s="74" t="e">
        <f t="shared" si="16"/>
        <v>#REF!</v>
      </c>
      <c r="I76" s="244" t="e">
        <f t="shared" si="14"/>
        <v>#REF!</v>
      </c>
      <c r="J76" s="388">
        <f t="shared" si="15"/>
        <v>0</v>
      </c>
      <c r="K76" s="72">
        <f t="shared" si="18"/>
        <v>0</v>
      </c>
      <c r="L76" s="71" t="s">
        <v>158</v>
      </c>
      <c r="M76" s="71" t="s">
        <v>161</v>
      </c>
    </row>
    <row r="77" spans="1:13" ht="16.5" customHeight="1" x14ac:dyDescent="0.25">
      <c r="A77" s="176">
        <v>1</v>
      </c>
      <c r="B77" s="73" t="s">
        <v>109</v>
      </c>
      <c r="C77" s="72">
        <v>54.12</v>
      </c>
      <c r="D77" s="179">
        <f t="shared" si="13"/>
        <v>54.12</v>
      </c>
      <c r="E77" s="72">
        <f t="shared" si="17"/>
        <v>0</v>
      </c>
      <c r="F77" s="72">
        <f t="shared" si="12"/>
        <v>4.3296000000000001</v>
      </c>
      <c r="G77" s="74">
        <v>44418</v>
      </c>
      <c r="H77" s="74" t="e">
        <f t="shared" si="16"/>
        <v>#REF!</v>
      </c>
      <c r="I77" s="244" t="e">
        <f t="shared" si="14"/>
        <v>#REF!</v>
      </c>
      <c r="J77" s="388">
        <f t="shared" si="15"/>
        <v>0</v>
      </c>
      <c r="K77" s="72">
        <f t="shared" si="18"/>
        <v>0</v>
      </c>
      <c r="L77" s="71" t="s">
        <v>158</v>
      </c>
      <c r="M77" s="71" t="s">
        <v>161</v>
      </c>
    </row>
    <row r="78" spans="1:13" ht="16.5" customHeight="1" x14ac:dyDescent="0.25">
      <c r="A78" s="176">
        <v>1</v>
      </c>
      <c r="B78" s="73" t="s">
        <v>69</v>
      </c>
      <c r="C78" s="72">
        <v>385.42</v>
      </c>
      <c r="D78" s="179">
        <f t="shared" si="13"/>
        <v>385.42</v>
      </c>
      <c r="E78" s="72">
        <f t="shared" si="17"/>
        <v>0</v>
      </c>
      <c r="F78" s="72">
        <f t="shared" si="12"/>
        <v>30.833600000000001</v>
      </c>
      <c r="G78" s="74">
        <v>44418</v>
      </c>
      <c r="H78" s="74" t="e">
        <f t="shared" si="16"/>
        <v>#REF!</v>
      </c>
      <c r="I78" s="244" t="e">
        <f t="shared" si="14"/>
        <v>#REF!</v>
      </c>
      <c r="J78" s="388">
        <f t="shared" si="15"/>
        <v>0</v>
      </c>
      <c r="K78" s="72">
        <f t="shared" si="18"/>
        <v>0</v>
      </c>
      <c r="L78" s="71" t="s">
        <v>150</v>
      </c>
      <c r="M78" s="71" t="s">
        <v>154</v>
      </c>
    </row>
    <row r="79" spans="1:13" ht="16.5" customHeight="1" x14ac:dyDescent="0.25">
      <c r="A79" s="176">
        <v>1</v>
      </c>
      <c r="B79" s="73" t="s">
        <v>71</v>
      </c>
      <c r="C79" s="72">
        <v>2.85</v>
      </c>
      <c r="D79" s="179">
        <f t="shared" si="13"/>
        <v>2.85</v>
      </c>
      <c r="E79" s="72">
        <f t="shared" si="17"/>
        <v>0</v>
      </c>
      <c r="F79" s="72">
        <f t="shared" si="12"/>
        <v>0.22800000000000001</v>
      </c>
      <c r="G79" s="76">
        <v>44418</v>
      </c>
      <c r="H79" s="74" t="e">
        <f>#REF!</f>
        <v>#REF!</v>
      </c>
      <c r="I79" s="244" t="e">
        <f t="shared" si="14"/>
        <v>#REF!</v>
      </c>
      <c r="J79" s="388">
        <f>J78</f>
        <v>0</v>
      </c>
      <c r="K79" s="72">
        <f t="shared" si="18"/>
        <v>0</v>
      </c>
      <c r="L79" s="71" t="s">
        <v>158</v>
      </c>
      <c r="M79" s="71" t="s">
        <v>161</v>
      </c>
    </row>
    <row r="80" spans="1:13" ht="16.5" customHeight="1" x14ac:dyDescent="0.25">
      <c r="A80" s="176">
        <v>1</v>
      </c>
      <c r="B80" s="73" t="s">
        <v>72</v>
      </c>
      <c r="C80" s="72">
        <v>106.41</v>
      </c>
      <c r="D80" s="179">
        <f t="shared" si="13"/>
        <v>106.41</v>
      </c>
      <c r="E80" s="72">
        <f t="shared" si="17"/>
        <v>0</v>
      </c>
      <c r="F80" s="72">
        <f t="shared" si="12"/>
        <v>8.5128000000000004</v>
      </c>
      <c r="G80" s="76">
        <v>44418</v>
      </c>
      <c r="H80" s="74" t="e">
        <f t="shared" si="16"/>
        <v>#REF!</v>
      </c>
      <c r="I80" s="244" t="e">
        <f t="shared" si="14"/>
        <v>#REF!</v>
      </c>
      <c r="J80" s="388">
        <f t="shared" si="15"/>
        <v>0</v>
      </c>
      <c r="K80" s="72">
        <f t="shared" si="18"/>
        <v>0</v>
      </c>
      <c r="L80" s="71" t="s">
        <v>158</v>
      </c>
      <c r="M80" s="71" t="s">
        <v>151</v>
      </c>
    </row>
    <row r="81" spans="1:14" ht="16.5" customHeight="1" x14ac:dyDescent="0.25">
      <c r="A81" s="176">
        <v>1</v>
      </c>
      <c r="B81" s="73" t="s">
        <v>73</v>
      </c>
      <c r="C81" s="72">
        <v>740.1</v>
      </c>
      <c r="D81" s="179">
        <f t="shared" si="13"/>
        <v>740.1</v>
      </c>
      <c r="E81" s="72">
        <f t="shared" si="17"/>
        <v>0</v>
      </c>
      <c r="F81" s="72">
        <f t="shared" si="12"/>
        <v>59.208000000000006</v>
      </c>
      <c r="G81" s="76">
        <v>44418</v>
      </c>
      <c r="H81" s="74" t="e">
        <f t="shared" si="16"/>
        <v>#REF!</v>
      </c>
      <c r="I81" s="244" t="e">
        <f t="shared" si="14"/>
        <v>#REF!</v>
      </c>
      <c r="J81" s="388">
        <f t="shared" si="15"/>
        <v>0</v>
      </c>
      <c r="K81" s="72">
        <f t="shared" si="18"/>
        <v>0</v>
      </c>
      <c r="L81" s="71" t="s">
        <v>158</v>
      </c>
      <c r="M81" s="71" t="s">
        <v>161</v>
      </c>
    </row>
    <row r="82" spans="1:14" ht="16.5" customHeight="1" x14ac:dyDescent="0.25">
      <c r="A82" s="176">
        <v>1</v>
      </c>
      <c r="B82" s="73" t="s">
        <v>74</v>
      </c>
      <c r="C82" s="72">
        <v>3498.01</v>
      </c>
      <c r="D82" s="179">
        <v>2000</v>
      </c>
      <c r="E82" s="72">
        <f>C82-D83-D82</f>
        <v>0</v>
      </c>
      <c r="F82" s="72">
        <f t="shared" si="12"/>
        <v>279.8408</v>
      </c>
      <c r="G82" s="76">
        <v>44418</v>
      </c>
      <c r="H82" s="74" t="e">
        <f t="shared" si="16"/>
        <v>#REF!</v>
      </c>
      <c r="I82" s="244" t="e">
        <f t="shared" si="14"/>
        <v>#REF!</v>
      </c>
      <c r="J82" s="388">
        <f t="shared" si="15"/>
        <v>0</v>
      </c>
      <c r="K82" s="72">
        <f t="shared" si="18"/>
        <v>0</v>
      </c>
      <c r="L82" s="71" t="s">
        <v>150</v>
      </c>
      <c r="M82" s="71" t="s">
        <v>154</v>
      </c>
    </row>
    <row r="83" spans="1:14" ht="16.5" customHeight="1" x14ac:dyDescent="0.25">
      <c r="A83" s="176">
        <v>1</v>
      </c>
      <c r="B83" s="73" t="s">
        <v>74</v>
      </c>
      <c r="C83" s="72">
        <v>0</v>
      </c>
      <c r="D83" s="179">
        <f>ROUND(C82*A82,2)-D82</f>
        <v>1498.0100000000002</v>
      </c>
      <c r="E83" s="72">
        <v>0</v>
      </c>
      <c r="F83" s="72">
        <f t="shared" si="12"/>
        <v>0</v>
      </c>
      <c r="G83" s="76">
        <v>44449</v>
      </c>
      <c r="H83" s="74" t="e">
        <f t="shared" si="16"/>
        <v>#REF!</v>
      </c>
      <c r="I83" s="244" t="e">
        <f t="shared" si="14"/>
        <v>#REF!</v>
      </c>
      <c r="J83" s="388">
        <f t="shared" si="15"/>
        <v>0</v>
      </c>
      <c r="K83" s="72">
        <f t="shared" si="18"/>
        <v>0</v>
      </c>
      <c r="L83" s="71" t="s">
        <v>150</v>
      </c>
      <c r="M83" s="71" t="s">
        <v>154</v>
      </c>
    </row>
    <row r="84" spans="1:14" ht="16.5" customHeight="1" x14ac:dyDescent="0.25">
      <c r="A84" s="176">
        <v>1</v>
      </c>
      <c r="B84" s="73" t="s">
        <v>10</v>
      </c>
      <c r="C84" s="72">
        <v>6.83</v>
      </c>
      <c r="D84" s="179">
        <f t="shared" si="13"/>
        <v>6.83</v>
      </c>
      <c r="E84" s="72">
        <f t="shared" si="17"/>
        <v>0</v>
      </c>
      <c r="F84" s="72">
        <f t="shared" si="12"/>
        <v>0.5464</v>
      </c>
      <c r="G84" s="76">
        <v>44418</v>
      </c>
      <c r="H84" s="74" t="e">
        <f t="shared" si="16"/>
        <v>#REF!</v>
      </c>
      <c r="I84" s="244" t="e">
        <f t="shared" si="14"/>
        <v>#REF!</v>
      </c>
      <c r="J84" s="388">
        <f t="shared" si="15"/>
        <v>0</v>
      </c>
      <c r="K84" s="72">
        <f t="shared" si="18"/>
        <v>0</v>
      </c>
      <c r="L84" s="71" t="s">
        <v>158</v>
      </c>
      <c r="M84" s="71" t="s">
        <v>161</v>
      </c>
    </row>
    <row r="85" spans="1:14" ht="16.5" customHeight="1" x14ac:dyDescent="0.25">
      <c r="A85" s="176">
        <v>1</v>
      </c>
      <c r="B85" s="73" t="s">
        <v>77</v>
      </c>
      <c r="C85" s="72">
        <v>1775.94</v>
      </c>
      <c r="D85" s="179">
        <f t="shared" si="13"/>
        <v>1775.94</v>
      </c>
      <c r="E85" s="72">
        <f t="shared" si="17"/>
        <v>0</v>
      </c>
      <c r="F85" s="72">
        <f t="shared" si="12"/>
        <v>142.0752</v>
      </c>
      <c r="G85" s="76">
        <v>44418</v>
      </c>
      <c r="H85" s="74" t="e">
        <f t="shared" si="16"/>
        <v>#REF!</v>
      </c>
      <c r="I85" s="244" t="e">
        <f t="shared" si="14"/>
        <v>#REF!</v>
      </c>
      <c r="J85" s="388">
        <f t="shared" si="15"/>
        <v>0</v>
      </c>
      <c r="K85" s="72">
        <f t="shared" si="18"/>
        <v>0</v>
      </c>
      <c r="L85" s="71" t="s">
        <v>158</v>
      </c>
      <c r="M85" s="71" t="s">
        <v>161</v>
      </c>
    </row>
    <row r="86" spans="1:14" ht="16.5" customHeight="1" x14ac:dyDescent="0.25">
      <c r="A86" s="176">
        <v>1</v>
      </c>
      <c r="B86" s="73" t="s">
        <v>78</v>
      </c>
      <c r="C86" s="72">
        <v>1153.8800000000001</v>
      </c>
      <c r="D86" s="179">
        <f t="shared" si="13"/>
        <v>1153.8800000000001</v>
      </c>
      <c r="E86" s="72">
        <f t="shared" si="17"/>
        <v>0</v>
      </c>
      <c r="F86" s="72">
        <f t="shared" si="12"/>
        <v>92.310400000000016</v>
      </c>
      <c r="G86" s="76">
        <v>44418</v>
      </c>
      <c r="H86" s="74" t="e">
        <f t="shared" si="16"/>
        <v>#REF!</v>
      </c>
      <c r="I86" s="244" t="e">
        <f t="shared" si="14"/>
        <v>#REF!</v>
      </c>
      <c r="J86" s="388">
        <f t="shared" si="15"/>
        <v>0</v>
      </c>
      <c r="K86" s="72">
        <f t="shared" si="18"/>
        <v>0</v>
      </c>
      <c r="L86" s="71" t="s">
        <v>158</v>
      </c>
      <c r="M86" s="71" t="s">
        <v>161</v>
      </c>
    </row>
    <row r="87" spans="1:14" ht="16.5" customHeight="1" x14ac:dyDescent="0.25">
      <c r="A87" s="176">
        <v>1</v>
      </c>
      <c r="B87" s="73" t="s">
        <v>79</v>
      </c>
      <c r="C87" s="72">
        <v>770.84</v>
      </c>
      <c r="D87" s="179">
        <f t="shared" si="13"/>
        <v>770.84</v>
      </c>
      <c r="E87" s="72">
        <f t="shared" si="17"/>
        <v>0</v>
      </c>
      <c r="F87" s="72">
        <f t="shared" si="12"/>
        <v>61.667200000000001</v>
      </c>
      <c r="G87" s="76">
        <v>44418</v>
      </c>
      <c r="H87" s="74" t="e">
        <f t="shared" si="16"/>
        <v>#REF!</v>
      </c>
      <c r="I87" s="244" t="e">
        <f t="shared" si="14"/>
        <v>#REF!</v>
      </c>
      <c r="J87" s="388">
        <f t="shared" si="15"/>
        <v>0</v>
      </c>
      <c r="K87" s="72">
        <f t="shared" si="18"/>
        <v>0</v>
      </c>
      <c r="L87" s="71" t="s">
        <v>158</v>
      </c>
      <c r="M87" s="71" t="s">
        <v>161</v>
      </c>
    </row>
    <row r="88" spans="1:14" ht="16.5" customHeight="1" x14ac:dyDescent="0.25">
      <c r="A88" s="176">
        <v>1</v>
      </c>
      <c r="B88" s="73" t="s">
        <v>80</v>
      </c>
      <c r="C88" s="72">
        <v>2729.98</v>
      </c>
      <c r="D88" s="179">
        <v>1500</v>
      </c>
      <c r="E88" s="72">
        <f>C88-D88-D89</f>
        <v>0</v>
      </c>
      <c r="F88" s="72">
        <f t="shared" si="12"/>
        <v>218.39840000000001</v>
      </c>
      <c r="G88" s="76">
        <v>44418</v>
      </c>
      <c r="H88" s="74" t="e">
        <f t="shared" si="16"/>
        <v>#REF!</v>
      </c>
      <c r="I88" s="244" t="e">
        <f t="shared" si="14"/>
        <v>#REF!</v>
      </c>
      <c r="J88" s="388">
        <f t="shared" si="15"/>
        <v>0</v>
      </c>
      <c r="K88" s="72">
        <f t="shared" si="18"/>
        <v>0</v>
      </c>
      <c r="L88" s="71" t="s">
        <v>150</v>
      </c>
      <c r="M88" s="71" t="s">
        <v>154</v>
      </c>
    </row>
    <row r="89" spans="1:14" ht="16.5" customHeight="1" x14ac:dyDescent="0.25">
      <c r="A89" s="176">
        <v>1</v>
      </c>
      <c r="B89" s="73" t="s">
        <v>80</v>
      </c>
      <c r="C89" s="72">
        <v>0</v>
      </c>
      <c r="D89" s="179">
        <f>ROUND(C88*A88,2)-D88</f>
        <v>1229.98</v>
      </c>
      <c r="E89" s="72">
        <v>0</v>
      </c>
      <c r="F89" s="72">
        <f t="shared" si="12"/>
        <v>0</v>
      </c>
      <c r="G89" s="76">
        <v>44449</v>
      </c>
      <c r="H89" s="74" t="e">
        <f t="shared" si="16"/>
        <v>#REF!</v>
      </c>
      <c r="I89" s="244" t="e">
        <f t="shared" si="14"/>
        <v>#REF!</v>
      </c>
      <c r="J89" s="388">
        <f t="shared" si="15"/>
        <v>0</v>
      </c>
      <c r="K89" s="72">
        <f t="shared" si="18"/>
        <v>0</v>
      </c>
      <c r="L89" s="71" t="s">
        <v>150</v>
      </c>
      <c r="M89" s="71" t="s">
        <v>154</v>
      </c>
    </row>
    <row r="90" spans="1:14" ht="16.5" customHeight="1" x14ac:dyDescent="0.25">
      <c r="A90" s="176">
        <v>1</v>
      </c>
      <c r="B90" s="73" t="s">
        <v>81</v>
      </c>
      <c r="C90" s="72">
        <v>822.11</v>
      </c>
      <c r="D90" s="179">
        <f t="shared" si="13"/>
        <v>822.11</v>
      </c>
      <c r="E90" s="72">
        <f t="shared" si="17"/>
        <v>0</v>
      </c>
      <c r="F90" s="72">
        <f t="shared" si="12"/>
        <v>65.768799999999999</v>
      </c>
      <c r="G90" s="76">
        <v>44418</v>
      </c>
      <c r="H90" s="74" t="e">
        <f t="shared" si="16"/>
        <v>#REF!</v>
      </c>
      <c r="I90" s="244" t="e">
        <f t="shared" si="14"/>
        <v>#REF!</v>
      </c>
      <c r="J90" s="388">
        <f t="shared" si="15"/>
        <v>0</v>
      </c>
      <c r="K90" s="72">
        <f t="shared" si="18"/>
        <v>0</v>
      </c>
      <c r="L90" s="71" t="s">
        <v>158</v>
      </c>
      <c r="M90" s="71" t="s">
        <v>161</v>
      </c>
    </row>
    <row r="91" spans="1:14" ht="16.5" customHeight="1" x14ac:dyDescent="0.25">
      <c r="A91" s="176">
        <v>1</v>
      </c>
      <c r="B91" s="73" t="s">
        <v>82</v>
      </c>
      <c r="C91" s="72">
        <v>1533.01</v>
      </c>
      <c r="D91" s="179">
        <f t="shared" si="13"/>
        <v>1533.01</v>
      </c>
      <c r="E91" s="72">
        <f t="shared" si="17"/>
        <v>0</v>
      </c>
      <c r="F91" s="72">
        <f t="shared" si="12"/>
        <v>122.6408</v>
      </c>
      <c r="G91" s="76">
        <v>44418</v>
      </c>
      <c r="H91" s="74" t="e">
        <f t="shared" si="16"/>
        <v>#REF!</v>
      </c>
      <c r="I91" s="244" t="e">
        <f t="shared" si="14"/>
        <v>#REF!</v>
      </c>
      <c r="J91" s="388">
        <f t="shared" si="15"/>
        <v>0</v>
      </c>
      <c r="K91" s="72">
        <f t="shared" si="18"/>
        <v>0</v>
      </c>
      <c r="L91" s="71" t="s">
        <v>158</v>
      </c>
      <c r="M91" s="71" t="s">
        <v>161</v>
      </c>
    </row>
    <row r="92" spans="1:14" ht="16.5" customHeight="1" x14ac:dyDescent="0.25">
      <c r="A92" s="176">
        <v>1</v>
      </c>
      <c r="B92" s="73" t="s">
        <v>112</v>
      </c>
      <c r="C92" s="72">
        <v>6.01</v>
      </c>
      <c r="D92" s="179">
        <f t="shared" si="13"/>
        <v>6.01</v>
      </c>
      <c r="E92" s="225">
        <f t="shared" si="17"/>
        <v>0</v>
      </c>
      <c r="F92" s="72">
        <f t="shared" si="12"/>
        <v>0.48080000000000001</v>
      </c>
      <c r="G92" s="76">
        <v>44418</v>
      </c>
      <c r="H92" s="74" t="e">
        <f t="shared" si="16"/>
        <v>#REF!</v>
      </c>
      <c r="I92" s="244" t="e">
        <f t="shared" si="14"/>
        <v>#REF!</v>
      </c>
      <c r="J92" s="388">
        <f t="shared" si="15"/>
        <v>0</v>
      </c>
      <c r="K92" s="72">
        <f t="shared" si="18"/>
        <v>0</v>
      </c>
      <c r="L92" s="71" t="s">
        <v>158</v>
      </c>
      <c r="M92" s="71" t="s">
        <v>161</v>
      </c>
      <c r="N92" s="163"/>
    </row>
    <row r="93" spans="1:14" ht="16.5" customHeight="1" x14ac:dyDescent="0.25">
      <c r="A93" s="176">
        <v>1</v>
      </c>
      <c r="B93" s="73" t="s">
        <v>84</v>
      </c>
      <c r="C93" s="72">
        <v>0.53</v>
      </c>
      <c r="D93" s="179">
        <f t="shared" si="13"/>
        <v>0.53</v>
      </c>
      <c r="E93" s="72">
        <f t="shared" si="17"/>
        <v>0</v>
      </c>
      <c r="F93" s="72">
        <f t="shared" si="12"/>
        <v>4.24E-2</v>
      </c>
      <c r="G93" s="76">
        <v>44418</v>
      </c>
      <c r="H93" s="74" t="e">
        <f t="shared" si="16"/>
        <v>#REF!</v>
      </c>
      <c r="I93" s="244" t="e">
        <f t="shared" si="14"/>
        <v>#REF!</v>
      </c>
      <c r="J93" s="388">
        <f t="shared" si="15"/>
        <v>0</v>
      </c>
      <c r="K93" s="72">
        <f t="shared" si="18"/>
        <v>0</v>
      </c>
      <c r="L93" s="71" t="s">
        <v>158</v>
      </c>
      <c r="M93" s="71" t="s">
        <v>161</v>
      </c>
    </row>
    <row r="94" spans="1:14" ht="16.5" customHeight="1" x14ac:dyDescent="0.25">
      <c r="A94" s="176">
        <v>1</v>
      </c>
      <c r="B94" s="73" t="s">
        <v>85</v>
      </c>
      <c r="C94" s="72">
        <v>6.31</v>
      </c>
      <c r="D94" s="179">
        <f t="shared" si="13"/>
        <v>6.31</v>
      </c>
      <c r="E94" s="72">
        <f t="shared" si="17"/>
        <v>0</v>
      </c>
      <c r="F94" s="72">
        <f t="shared" si="12"/>
        <v>0.50480000000000003</v>
      </c>
      <c r="G94" s="76">
        <v>44418</v>
      </c>
      <c r="H94" s="74" t="e">
        <f t="shared" si="16"/>
        <v>#REF!</v>
      </c>
      <c r="I94" s="244" t="e">
        <f t="shared" si="14"/>
        <v>#REF!</v>
      </c>
      <c r="J94" s="388">
        <f t="shared" si="15"/>
        <v>0</v>
      </c>
      <c r="K94" s="72">
        <f t="shared" si="18"/>
        <v>0</v>
      </c>
      <c r="L94" s="71" t="s">
        <v>158</v>
      </c>
      <c r="M94" s="71" t="s">
        <v>161</v>
      </c>
    </row>
    <row r="95" spans="1:14" ht="16.5" customHeight="1" x14ac:dyDescent="0.25">
      <c r="A95" s="176">
        <v>1</v>
      </c>
      <c r="B95" s="73" t="s">
        <v>87</v>
      </c>
      <c r="C95" s="72">
        <v>0.72</v>
      </c>
      <c r="D95" s="179">
        <f t="shared" si="13"/>
        <v>0.72</v>
      </c>
      <c r="E95" s="72">
        <f t="shared" si="17"/>
        <v>0</v>
      </c>
      <c r="F95" s="72">
        <f t="shared" si="12"/>
        <v>5.7599999999999998E-2</v>
      </c>
      <c r="G95" s="76">
        <v>44418</v>
      </c>
      <c r="H95" s="74" t="e">
        <f>#REF!</f>
        <v>#REF!</v>
      </c>
      <c r="I95" s="244" t="e">
        <f t="shared" si="14"/>
        <v>#REF!</v>
      </c>
      <c r="J95" s="388">
        <f>J94</f>
        <v>0</v>
      </c>
      <c r="K95" s="72">
        <f t="shared" si="18"/>
        <v>0</v>
      </c>
      <c r="L95" s="71" t="s">
        <v>158</v>
      </c>
      <c r="M95" s="71" t="s">
        <v>161</v>
      </c>
    </row>
    <row r="96" spans="1:14" ht="16.5" customHeight="1" x14ac:dyDescent="0.25">
      <c r="A96" s="176">
        <v>1</v>
      </c>
      <c r="B96" s="73" t="s">
        <v>88</v>
      </c>
      <c r="C96" s="72">
        <v>102.54</v>
      </c>
      <c r="D96" s="179">
        <f t="shared" si="13"/>
        <v>102.54</v>
      </c>
      <c r="E96" s="72">
        <f t="shared" si="17"/>
        <v>0</v>
      </c>
      <c r="F96" s="72">
        <f t="shared" si="12"/>
        <v>8.2032000000000007</v>
      </c>
      <c r="G96" s="76">
        <v>44418</v>
      </c>
      <c r="H96" s="74" t="e">
        <f t="shared" si="16"/>
        <v>#REF!</v>
      </c>
      <c r="I96" s="244" t="e">
        <f t="shared" si="14"/>
        <v>#REF!</v>
      </c>
      <c r="J96" s="388">
        <f t="shared" si="15"/>
        <v>0</v>
      </c>
      <c r="K96" s="72">
        <f t="shared" si="18"/>
        <v>0</v>
      </c>
      <c r="L96" s="71" t="s">
        <v>158</v>
      </c>
      <c r="M96" s="71" t="s">
        <v>161</v>
      </c>
    </row>
    <row r="97" spans="1:13" ht="16.5" customHeight="1" x14ac:dyDescent="0.25">
      <c r="A97" s="176">
        <v>1</v>
      </c>
      <c r="B97" s="73" t="s">
        <v>89</v>
      </c>
      <c r="C97" s="72">
        <v>54.37</v>
      </c>
      <c r="D97" s="179">
        <f t="shared" si="13"/>
        <v>54.37</v>
      </c>
      <c r="E97" s="72">
        <f t="shared" si="17"/>
        <v>0</v>
      </c>
      <c r="F97" s="72">
        <f t="shared" si="12"/>
        <v>4.3495999999999997</v>
      </c>
      <c r="G97" s="76">
        <v>44418</v>
      </c>
      <c r="H97" s="74" t="e">
        <f t="shared" si="16"/>
        <v>#REF!</v>
      </c>
      <c r="I97" s="244" t="e">
        <f t="shared" si="14"/>
        <v>#REF!</v>
      </c>
      <c r="J97" s="388">
        <f t="shared" si="15"/>
        <v>0</v>
      </c>
      <c r="K97" s="72">
        <f t="shared" si="18"/>
        <v>0</v>
      </c>
      <c r="L97" s="71" t="s">
        <v>158</v>
      </c>
      <c r="M97" s="71" t="s">
        <v>161</v>
      </c>
    </row>
    <row r="98" spans="1:13" ht="16.5" customHeight="1" x14ac:dyDescent="0.25">
      <c r="A98" s="176">
        <v>1</v>
      </c>
      <c r="B98" s="73" t="s">
        <v>113</v>
      </c>
      <c r="C98" s="72">
        <v>770.76</v>
      </c>
      <c r="D98" s="179">
        <f t="shared" si="13"/>
        <v>770.76</v>
      </c>
      <c r="E98" s="72">
        <f t="shared" si="17"/>
        <v>0</v>
      </c>
      <c r="F98" s="72">
        <f t="shared" si="12"/>
        <v>61.660800000000002</v>
      </c>
      <c r="G98" s="76">
        <v>44418</v>
      </c>
      <c r="H98" s="74" t="e">
        <f t="shared" si="16"/>
        <v>#REF!</v>
      </c>
      <c r="I98" s="244" t="e">
        <f t="shared" si="14"/>
        <v>#REF!</v>
      </c>
      <c r="J98" s="388">
        <f t="shared" si="15"/>
        <v>0</v>
      </c>
      <c r="K98" s="72">
        <f t="shared" si="18"/>
        <v>0</v>
      </c>
      <c r="L98" s="71" t="s">
        <v>158</v>
      </c>
      <c r="M98" s="71" t="s">
        <v>161</v>
      </c>
    </row>
    <row r="99" spans="1:13" ht="16.5" customHeight="1" x14ac:dyDescent="0.25">
      <c r="A99" s="176">
        <v>1</v>
      </c>
      <c r="B99" s="73" t="s">
        <v>90</v>
      </c>
      <c r="C99" s="72">
        <v>6.65</v>
      </c>
      <c r="D99" s="179">
        <f t="shared" si="13"/>
        <v>6.65</v>
      </c>
      <c r="E99" s="72">
        <f t="shared" si="17"/>
        <v>0</v>
      </c>
      <c r="F99" s="72">
        <f t="shared" si="12"/>
        <v>0.53200000000000003</v>
      </c>
      <c r="G99" s="76">
        <v>44418</v>
      </c>
      <c r="H99" s="74" t="e">
        <f t="shared" si="16"/>
        <v>#REF!</v>
      </c>
      <c r="I99" s="244" t="e">
        <f t="shared" si="14"/>
        <v>#REF!</v>
      </c>
      <c r="J99" s="388">
        <f t="shared" si="15"/>
        <v>0</v>
      </c>
      <c r="K99" s="72">
        <f t="shared" si="18"/>
        <v>0</v>
      </c>
      <c r="L99" s="71" t="s">
        <v>158</v>
      </c>
      <c r="M99" s="71" t="s">
        <v>161</v>
      </c>
    </row>
    <row r="100" spans="1:13" ht="16.5" customHeight="1" x14ac:dyDescent="0.25">
      <c r="A100" s="176">
        <v>1</v>
      </c>
      <c r="B100" s="73" t="s">
        <v>91</v>
      </c>
      <c r="C100" s="72">
        <v>2.97</v>
      </c>
      <c r="D100" s="179">
        <f t="shared" si="13"/>
        <v>2.97</v>
      </c>
      <c r="E100" s="72">
        <f t="shared" si="17"/>
        <v>0</v>
      </c>
      <c r="F100" s="72">
        <f t="shared" si="12"/>
        <v>0.23760000000000003</v>
      </c>
      <c r="G100" s="76">
        <v>44418</v>
      </c>
      <c r="H100" s="74" t="e">
        <f t="shared" si="16"/>
        <v>#REF!</v>
      </c>
      <c r="I100" s="244" t="e">
        <f t="shared" si="14"/>
        <v>#REF!</v>
      </c>
      <c r="J100" s="388">
        <f t="shared" si="15"/>
        <v>0</v>
      </c>
      <c r="K100" s="72">
        <f t="shared" si="18"/>
        <v>0</v>
      </c>
      <c r="L100" s="71" t="s">
        <v>158</v>
      </c>
      <c r="M100" s="71" t="s">
        <v>161</v>
      </c>
    </row>
    <row r="101" spans="1:13" ht="16.5" customHeight="1" x14ac:dyDescent="0.25">
      <c r="A101" s="176">
        <v>1</v>
      </c>
      <c r="B101" s="73" t="s">
        <v>93</v>
      </c>
      <c r="C101" s="72">
        <v>51.27</v>
      </c>
      <c r="D101" s="179">
        <f t="shared" si="13"/>
        <v>51.27</v>
      </c>
      <c r="E101" s="72">
        <f t="shared" si="17"/>
        <v>0</v>
      </c>
      <c r="F101" s="72">
        <f t="shared" si="12"/>
        <v>4.1016000000000004</v>
      </c>
      <c r="G101" s="76">
        <v>44418</v>
      </c>
      <c r="H101" s="74" t="e">
        <f>#REF!</f>
        <v>#REF!</v>
      </c>
      <c r="I101" s="244" t="e">
        <f t="shared" si="14"/>
        <v>#REF!</v>
      </c>
      <c r="J101" s="388">
        <f>J100</f>
        <v>0</v>
      </c>
      <c r="K101" s="72">
        <f t="shared" ref="K101:K111" si="19">SUM(E101)*J101</f>
        <v>0</v>
      </c>
      <c r="L101" s="71" t="s">
        <v>158</v>
      </c>
      <c r="M101" s="71" t="s">
        <v>161</v>
      </c>
    </row>
    <row r="102" spans="1:13" ht="16.5" customHeight="1" x14ac:dyDescent="0.25">
      <c r="A102" s="176">
        <v>1</v>
      </c>
      <c r="B102" s="73" t="s">
        <v>94</v>
      </c>
      <c r="C102" s="72">
        <v>2738.71</v>
      </c>
      <c r="D102" s="179">
        <v>1500</v>
      </c>
      <c r="E102" s="72">
        <f>C102-D103-D102</f>
        <v>0</v>
      </c>
      <c r="F102" s="72">
        <f t="shared" ref="F102:F111" si="20">C102*8%</f>
        <v>219.0968</v>
      </c>
      <c r="G102" s="76">
        <v>44418</v>
      </c>
      <c r="H102" s="74" t="e">
        <f t="shared" si="16"/>
        <v>#REF!</v>
      </c>
      <c r="I102" s="244" t="e">
        <f t="shared" si="14"/>
        <v>#REF!</v>
      </c>
      <c r="J102" s="388">
        <f t="shared" si="15"/>
        <v>0</v>
      </c>
      <c r="K102" s="72">
        <f t="shared" si="19"/>
        <v>0</v>
      </c>
      <c r="L102" s="71" t="s">
        <v>150</v>
      </c>
      <c r="M102" s="71" t="s">
        <v>154</v>
      </c>
    </row>
    <row r="103" spans="1:13" ht="16.5" customHeight="1" x14ac:dyDescent="0.25">
      <c r="A103" s="176">
        <v>1</v>
      </c>
      <c r="B103" s="73" t="s">
        <v>94</v>
      </c>
      <c r="C103" s="72">
        <v>0</v>
      </c>
      <c r="D103" s="179">
        <f>ROUND(C102*A102,2)-D102</f>
        <v>1238.71</v>
      </c>
      <c r="E103" s="72">
        <v>0</v>
      </c>
      <c r="F103" s="72">
        <f t="shared" si="20"/>
        <v>0</v>
      </c>
      <c r="G103" s="76">
        <v>44449</v>
      </c>
      <c r="H103" s="74" t="e">
        <f t="shared" si="16"/>
        <v>#REF!</v>
      </c>
      <c r="I103" s="244" t="e">
        <f t="shared" si="14"/>
        <v>#REF!</v>
      </c>
      <c r="J103" s="388">
        <f t="shared" si="15"/>
        <v>0</v>
      </c>
      <c r="K103" s="72">
        <f t="shared" si="19"/>
        <v>0</v>
      </c>
      <c r="L103" s="71" t="s">
        <v>150</v>
      </c>
      <c r="M103" s="71" t="s">
        <v>154</v>
      </c>
    </row>
    <row r="104" spans="1:13" ht="16.5" customHeight="1" x14ac:dyDescent="0.25">
      <c r="A104" s="176">
        <v>1</v>
      </c>
      <c r="B104" s="73" t="s">
        <v>95</v>
      </c>
      <c r="C104" s="72">
        <v>1775.94</v>
      </c>
      <c r="D104" s="179">
        <f t="shared" si="13"/>
        <v>1775.94</v>
      </c>
      <c r="E104" s="72">
        <f t="shared" ref="E104:E111" si="21">C104-D104</f>
        <v>0</v>
      </c>
      <c r="F104" s="72">
        <f t="shared" si="20"/>
        <v>142.0752</v>
      </c>
      <c r="G104" s="76">
        <v>44419</v>
      </c>
      <c r="H104" s="74" t="e">
        <f t="shared" si="16"/>
        <v>#REF!</v>
      </c>
      <c r="I104" s="244" t="e">
        <f t="shared" si="14"/>
        <v>#REF!</v>
      </c>
      <c r="J104" s="388">
        <f t="shared" si="15"/>
        <v>0</v>
      </c>
      <c r="K104" s="72">
        <f t="shared" si="19"/>
        <v>0</v>
      </c>
      <c r="L104" s="71" t="s">
        <v>150</v>
      </c>
      <c r="M104" s="71" t="s">
        <v>154</v>
      </c>
    </row>
    <row r="105" spans="1:13" ht="16.5" customHeight="1" x14ac:dyDescent="0.25">
      <c r="A105" s="176">
        <v>1</v>
      </c>
      <c r="B105" s="77" t="s">
        <v>15</v>
      </c>
      <c r="C105" s="72">
        <v>5.62</v>
      </c>
      <c r="D105" s="179">
        <f>ROUND(C105*A105,2)</f>
        <v>5.62</v>
      </c>
      <c r="E105" s="72">
        <f>C105-D105</f>
        <v>0</v>
      </c>
      <c r="F105" s="72">
        <f t="shared" si="20"/>
        <v>0.4496</v>
      </c>
      <c r="G105" s="76">
        <v>44418</v>
      </c>
      <c r="H105" s="74" t="e">
        <f t="shared" si="16"/>
        <v>#REF!</v>
      </c>
      <c r="I105" s="244" t="e">
        <f t="shared" si="14"/>
        <v>#REF!</v>
      </c>
      <c r="J105" s="388">
        <f t="shared" si="15"/>
        <v>0</v>
      </c>
      <c r="K105" s="72">
        <f t="shared" si="19"/>
        <v>0</v>
      </c>
      <c r="L105" s="71" t="s">
        <v>158</v>
      </c>
      <c r="M105" s="71" t="s">
        <v>161</v>
      </c>
    </row>
    <row r="106" spans="1:13" ht="16.5" customHeight="1" x14ac:dyDescent="0.25">
      <c r="A106" s="176">
        <v>1</v>
      </c>
      <c r="B106" s="73" t="s">
        <v>96</v>
      </c>
      <c r="C106" s="72">
        <v>0.53</v>
      </c>
      <c r="D106" s="179">
        <f t="shared" si="13"/>
        <v>0.53</v>
      </c>
      <c r="E106" s="72">
        <f t="shared" si="21"/>
        <v>0</v>
      </c>
      <c r="F106" s="72">
        <f t="shared" si="20"/>
        <v>4.24E-2</v>
      </c>
      <c r="G106" s="76">
        <v>44418</v>
      </c>
      <c r="H106" s="74" t="e">
        <f t="shared" si="16"/>
        <v>#REF!</v>
      </c>
      <c r="I106" s="244" t="e">
        <f t="shared" si="14"/>
        <v>#REF!</v>
      </c>
      <c r="J106" s="388">
        <f t="shared" si="15"/>
        <v>0</v>
      </c>
      <c r="K106" s="72">
        <f t="shared" si="19"/>
        <v>0</v>
      </c>
      <c r="L106" s="71" t="s">
        <v>158</v>
      </c>
      <c r="M106" s="71" t="s">
        <v>161</v>
      </c>
    </row>
    <row r="107" spans="1:13" ht="16.5" customHeight="1" x14ac:dyDescent="0.25">
      <c r="A107" s="176">
        <v>1</v>
      </c>
      <c r="B107" s="73" t="s">
        <v>98</v>
      </c>
      <c r="C107" s="72">
        <v>2275.14</v>
      </c>
      <c r="D107" s="179">
        <f t="shared" ref="D107:D111" si="22">ROUND(C107*A107,2)</f>
        <v>2275.14</v>
      </c>
      <c r="E107" s="72">
        <f t="shared" si="21"/>
        <v>0</v>
      </c>
      <c r="F107" s="72">
        <f t="shared" si="20"/>
        <v>182.0112</v>
      </c>
      <c r="G107" s="76">
        <v>44449</v>
      </c>
      <c r="H107" s="74" t="e">
        <f>#REF!</f>
        <v>#REF!</v>
      </c>
      <c r="I107" s="244" t="e">
        <f t="shared" si="14"/>
        <v>#REF!</v>
      </c>
      <c r="J107" s="388">
        <f>J106</f>
        <v>0</v>
      </c>
      <c r="K107" s="72">
        <f t="shared" si="19"/>
        <v>0</v>
      </c>
      <c r="L107" s="71" t="s">
        <v>150</v>
      </c>
      <c r="M107" s="71" t="s">
        <v>154</v>
      </c>
    </row>
    <row r="108" spans="1:13" ht="16.5" customHeight="1" x14ac:dyDescent="0.25">
      <c r="A108" s="176">
        <v>1</v>
      </c>
      <c r="B108" s="73" t="s">
        <v>99</v>
      </c>
      <c r="C108" s="72">
        <v>1775.94</v>
      </c>
      <c r="D108" s="179">
        <v>1500</v>
      </c>
      <c r="E108" s="72">
        <f>C108-D109-D108</f>
        <v>0</v>
      </c>
      <c r="F108" s="72">
        <f t="shared" si="20"/>
        <v>142.0752</v>
      </c>
      <c r="G108" s="76">
        <v>44418</v>
      </c>
      <c r="H108" s="74" t="e">
        <f t="shared" si="16"/>
        <v>#REF!</v>
      </c>
      <c r="I108" s="244" t="e">
        <f t="shared" si="14"/>
        <v>#REF!</v>
      </c>
      <c r="J108" s="388">
        <f t="shared" si="15"/>
        <v>0</v>
      </c>
      <c r="K108" s="72">
        <f t="shared" si="19"/>
        <v>0</v>
      </c>
      <c r="L108" s="71" t="s">
        <v>150</v>
      </c>
      <c r="M108" s="71" t="s">
        <v>154</v>
      </c>
    </row>
    <row r="109" spans="1:13" ht="16.5" customHeight="1" x14ac:dyDescent="0.25">
      <c r="A109" s="176">
        <v>1</v>
      </c>
      <c r="B109" s="73" t="s">
        <v>99</v>
      </c>
      <c r="C109" s="72">
        <v>0</v>
      </c>
      <c r="D109" s="179">
        <f>ROUND(C108*A108,2)-D108</f>
        <v>275.94000000000005</v>
      </c>
      <c r="E109" s="72">
        <v>0</v>
      </c>
      <c r="F109" s="72">
        <f t="shared" si="20"/>
        <v>0</v>
      </c>
      <c r="G109" s="76">
        <v>44420</v>
      </c>
      <c r="H109" s="74" t="e">
        <f t="shared" si="16"/>
        <v>#REF!</v>
      </c>
      <c r="I109" s="244" t="e">
        <f t="shared" si="14"/>
        <v>#REF!</v>
      </c>
      <c r="J109" s="388">
        <f t="shared" si="15"/>
        <v>0</v>
      </c>
      <c r="K109" s="72">
        <f t="shared" si="19"/>
        <v>0</v>
      </c>
      <c r="L109" s="71" t="s">
        <v>150</v>
      </c>
      <c r="M109" s="71" t="s">
        <v>154</v>
      </c>
    </row>
    <row r="110" spans="1:13" ht="16.5" customHeight="1" x14ac:dyDescent="0.25">
      <c r="A110" s="176">
        <v>1</v>
      </c>
      <c r="B110" s="73" t="s">
        <v>100</v>
      </c>
      <c r="C110" s="72">
        <v>1494.29</v>
      </c>
      <c r="D110" s="179">
        <f t="shared" si="22"/>
        <v>1494.29</v>
      </c>
      <c r="E110" s="72">
        <f t="shared" si="21"/>
        <v>0</v>
      </c>
      <c r="F110" s="72">
        <f t="shared" si="20"/>
        <v>119.5432</v>
      </c>
      <c r="G110" s="76">
        <v>44418</v>
      </c>
      <c r="H110" s="74" t="e">
        <f t="shared" si="16"/>
        <v>#REF!</v>
      </c>
      <c r="I110" s="244" t="e">
        <f t="shared" si="14"/>
        <v>#REF!</v>
      </c>
      <c r="J110" s="388">
        <f t="shared" si="15"/>
        <v>0</v>
      </c>
      <c r="K110" s="72">
        <f t="shared" si="19"/>
        <v>0</v>
      </c>
      <c r="L110" s="71" t="s">
        <v>158</v>
      </c>
      <c r="M110" s="71" t="s">
        <v>161</v>
      </c>
    </row>
    <row r="111" spans="1:13" ht="16.5" customHeight="1" x14ac:dyDescent="0.25">
      <c r="A111" s="176">
        <v>1</v>
      </c>
      <c r="B111" s="73" t="s">
        <v>101</v>
      </c>
      <c r="C111" s="72">
        <v>2.84</v>
      </c>
      <c r="D111" s="179">
        <f t="shared" si="22"/>
        <v>2.84</v>
      </c>
      <c r="E111" s="72">
        <f t="shared" si="21"/>
        <v>0</v>
      </c>
      <c r="F111" s="72">
        <f t="shared" si="20"/>
        <v>0.22719999999999999</v>
      </c>
      <c r="G111" s="76">
        <v>44418</v>
      </c>
      <c r="H111" s="74" t="e">
        <f t="shared" si="16"/>
        <v>#REF!</v>
      </c>
      <c r="I111" s="244" t="e">
        <f t="shared" si="14"/>
        <v>#REF!</v>
      </c>
      <c r="J111" s="388">
        <f t="shared" si="15"/>
        <v>0</v>
      </c>
      <c r="K111" s="72">
        <f t="shared" si="19"/>
        <v>0</v>
      </c>
      <c r="L111" s="71" t="s">
        <v>158</v>
      </c>
      <c r="M111" s="71" t="s">
        <v>161</v>
      </c>
    </row>
    <row r="112" spans="1:13" ht="16.5" customHeight="1" x14ac:dyDescent="0.25">
      <c r="A112" s="190"/>
      <c r="B112" s="181" t="s">
        <v>162</v>
      </c>
      <c r="C112" s="181">
        <f>SUM(C42:C111)</f>
        <v>43939.710000000006</v>
      </c>
      <c r="D112" s="181">
        <f>SUBTOTAL(9,D42:D111)</f>
        <v>43939.710000000006</v>
      </c>
      <c r="E112" s="181">
        <f>SUM(E50:E111)</f>
        <v>0</v>
      </c>
      <c r="F112" s="181">
        <f>SUM(F42:F111)</f>
        <v>3515.1767999999988</v>
      </c>
      <c r="G112" s="182"/>
      <c r="H112" s="182"/>
      <c r="I112" s="182"/>
      <c r="J112" s="389"/>
      <c r="K112" s="317">
        <f>SUM(K42:K111)</f>
        <v>0</v>
      </c>
      <c r="L112" s="226"/>
      <c r="M112" s="226"/>
    </row>
    <row r="113" spans="1:13" s="65" customFormat="1" ht="17.25" customHeight="1" x14ac:dyDescent="0.25">
      <c r="A113" s="186"/>
      <c r="B113" s="187" t="s">
        <v>103</v>
      </c>
      <c r="C113" s="188">
        <f>SUM(C112+C41+C20)</f>
        <v>124514.78000000001</v>
      </c>
      <c r="D113" s="188">
        <f>SUM(D112+D41+D20)</f>
        <v>85841.75</v>
      </c>
      <c r="E113" s="188">
        <f>SUM(E112+E41+E20)</f>
        <v>38673.03</v>
      </c>
      <c r="F113" s="188">
        <f>F112+F41+F20</f>
        <v>9961.1823999999979</v>
      </c>
      <c r="G113" s="189"/>
      <c r="H113" s="189"/>
      <c r="I113" s="189"/>
      <c r="J113" s="189"/>
      <c r="K113" s="326">
        <f>SUM(K112+K41+K20)</f>
        <v>0</v>
      </c>
      <c r="L113" s="186"/>
      <c r="M113" s="186"/>
    </row>
    <row r="115" spans="1:13" x14ac:dyDescent="0.25">
      <c r="B115" s="166"/>
      <c r="C115" s="220"/>
      <c r="D115" s="166"/>
      <c r="E115" s="166"/>
      <c r="F115" s="166"/>
      <c r="G115" s="67"/>
      <c r="H115" s="67"/>
      <c r="I115" s="67"/>
      <c r="J115" s="67"/>
      <c r="K115" s="67"/>
    </row>
    <row r="116" spans="1:13" x14ac:dyDescent="0.25">
      <c r="B116" s="166"/>
      <c r="C116" s="97"/>
      <c r="D116" s="97"/>
      <c r="E116" s="166"/>
      <c r="F116" s="166"/>
    </row>
    <row r="117" spans="1:13" x14ac:dyDescent="0.25">
      <c r="B117" s="166"/>
      <c r="C117" s="97"/>
      <c r="D117" s="97"/>
      <c r="E117" s="166"/>
      <c r="F117" s="166"/>
    </row>
    <row r="118" spans="1:13" x14ac:dyDescent="0.25">
      <c r="B118" s="166"/>
      <c r="C118" s="97"/>
      <c r="D118" s="97"/>
      <c r="E118" s="166"/>
      <c r="F118" s="166"/>
    </row>
    <row r="119" spans="1:13" x14ac:dyDescent="0.25">
      <c r="C119" s="97"/>
      <c r="D119" s="97"/>
    </row>
    <row r="120" spans="1:13" x14ac:dyDescent="0.25">
      <c r="C120" s="97"/>
      <c r="D120" s="97"/>
    </row>
  </sheetData>
  <autoFilter ref="A4:M112" xr:uid="{00000000-0009-0000-0000-000000000000}"/>
  <pageMargins left="0.51181102362204722" right="0.51181102362204722" top="0.47244094488188981" bottom="0.47244094488188981" header="0.31496062992125984" footer="0.31496062992125984"/>
  <pageSetup paperSize="9" scale="7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D0633-D36F-4F4B-92D8-A7E59379054A}">
  <sheetPr>
    <tabColor rgb="FF00B050"/>
    <pageSetUpPr fitToPage="1"/>
  </sheetPr>
  <dimension ref="A1:T144"/>
  <sheetViews>
    <sheetView showGridLines="0" topLeftCell="A51" workbookViewId="0">
      <selection activeCell="J51" sqref="J1:K1048576"/>
    </sheetView>
  </sheetViews>
  <sheetFormatPr defaultRowHeight="15" x14ac:dyDescent="0.25"/>
  <cols>
    <col min="1" max="1" width="9.85546875" style="60" customWidth="1"/>
    <col min="2" max="2" width="43.28515625" style="60" customWidth="1"/>
    <col min="3" max="3" width="14.140625" style="59" customWidth="1"/>
    <col min="4" max="4" width="14.42578125" style="69" customWidth="1"/>
    <col min="5" max="5" width="16.28515625" style="69" customWidth="1"/>
    <col min="6" max="6" width="13.5703125" style="69" customWidth="1"/>
    <col min="7" max="7" width="12.28515625" style="60" hidden="1" customWidth="1"/>
    <col min="8" max="8" width="12.85546875" style="60" hidden="1" customWidth="1"/>
    <col min="9" max="9" width="14.28515625" style="60" hidden="1" customWidth="1"/>
    <col min="10" max="11" width="16.140625" style="60" hidden="1" customWidth="1"/>
    <col min="12" max="12" width="8.28515625" style="60" hidden="1" customWidth="1"/>
    <col min="13" max="13" width="6.140625" style="60" hidden="1" customWidth="1"/>
    <col min="14" max="14" width="2.28515625" style="60" hidden="1" customWidth="1"/>
    <col min="15" max="15" width="4" style="60" hidden="1" customWidth="1"/>
    <col min="16" max="16" width="3.5703125" style="60" hidden="1" customWidth="1"/>
    <col min="17" max="20" width="9.140625" style="60" hidden="1" customWidth="1"/>
    <col min="21" max="35" width="9.140625" style="60" customWidth="1"/>
    <col min="36" max="16384" width="9.140625" style="60"/>
  </cols>
  <sheetData>
    <row r="1" spans="1:14" ht="17.25" customHeight="1" x14ac:dyDescent="0.25">
      <c r="A1" s="221"/>
      <c r="B1" s="303" t="s">
        <v>141</v>
      </c>
      <c r="C1" s="304"/>
      <c r="D1" s="222"/>
      <c r="E1" s="83"/>
      <c r="F1" s="83"/>
      <c r="G1" s="223"/>
      <c r="H1" s="223"/>
      <c r="I1" s="223"/>
      <c r="J1" s="223"/>
      <c r="K1" s="223"/>
      <c r="L1" s="223"/>
      <c r="M1" s="84"/>
    </row>
    <row r="2" spans="1:14" ht="15.75" x14ac:dyDescent="0.25">
      <c r="A2" s="59"/>
      <c r="B2" s="305" t="s">
        <v>225</v>
      </c>
      <c r="C2" s="306"/>
      <c r="D2" s="58"/>
      <c r="E2" s="58"/>
      <c r="F2" s="58"/>
      <c r="G2" s="59"/>
      <c r="H2" s="59"/>
      <c r="I2" s="59"/>
      <c r="J2" s="59"/>
      <c r="K2" s="59"/>
      <c r="L2" s="59"/>
      <c r="M2" s="85"/>
    </row>
    <row r="3" spans="1:14" ht="15.75" x14ac:dyDescent="0.25">
      <c r="A3" s="224"/>
      <c r="B3" s="307" t="s">
        <v>209</v>
      </c>
      <c r="C3" s="255"/>
      <c r="D3" s="88"/>
      <c r="E3" s="88"/>
      <c r="F3" s="88"/>
      <c r="G3" s="224"/>
      <c r="H3" s="224"/>
      <c r="I3" s="224"/>
      <c r="J3" s="224"/>
      <c r="K3" s="224"/>
      <c r="L3" s="224"/>
      <c r="M3" s="89"/>
    </row>
    <row r="4" spans="1:14" s="217" customFormat="1" ht="43.5" customHeight="1" x14ac:dyDescent="0.25">
      <c r="A4" s="62" t="s">
        <v>143</v>
      </c>
      <c r="B4" s="63" t="s">
        <v>144</v>
      </c>
      <c r="C4" s="58" t="s">
        <v>140</v>
      </c>
      <c r="D4" s="218" t="s">
        <v>145</v>
      </c>
      <c r="E4" s="58" t="s">
        <v>146</v>
      </c>
      <c r="F4" s="58" t="s">
        <v>212</v>
      </c>
      <c r="G4" s="58" t="s">
        <v>147</v>
      </c>
      <c r="H4" s="310" t="s">
        <v>213</v>
      </c>
      <c r="I4" s="310" t="s">
        <v>214</v>
      </c>
      <c r="J4" s="361" t="s">
        <v>252</v>
      </c>
      <c r="K4" s="361" t="s">
        <v>256</v>
      </c>
      <c r="L4" s="58" t="s">
        <v>148</v>
      </c>
      <c r="M4" s="58" t="s">
        <v>149</v>
      </c>
    </row>
    <row r="5" spans="1:14" ht="16.5" customHeight="1" x14ac:dyDescent="0.25">
      <c r="A5" s="176">
        <v>0.65</v>
      </c>
      <c r="B5" s="77" t="s">
        <v>1</v>
      </c>
      <c r="C5" s="72">
        <v>2490.2600000000002</v>
      </c>
      <c r="D5" s="70">
        <v>1618.67</v>
      </c>
      <c r="E5" s="72">
        <f>C5-D5</f>
        <v>871.59000000000015</v>
      </c>
      <c r="F5" s="72">
        <f>C5*8%</f>
        <v>199.22080000000003</v>
      </c>
      <c r="G5" s="76">
        <v>44538</v>
      </c>
      <c r="H5" s="76">
        <v>44445</v>
      </c>
      <c r="I5" s="244">
        <f>G5-H5</f>
        <v>93</v>
      </c>
      <c r="J5" s="391">
        <f>'RESUMO DE CÁLCULO'!B37</f>
        <v>0</v>
      </c>
      <c r="K5" s="72">
        <f t="shared" ref="K5:K21" si="0">SUM(E5)*J5</f>
        <v>0</v>
      </c>
      <c r="L5" s="71" t="s">
        <v>150</v>
      </c>
      <c r="M5" s="71" t="s">
        <v>152</v>
      </c>
    </row>
    <row r="6" spans="1:14" ht="16.5" customHeight="1" x14ac:dyDescent="0.25">
      <c r="A6" s="176">
        <v>0.65</v>
      </c>
      <c r="B6" s="77" t="s">
        <v>2</v>
      </c>
      <c r="C6" s="72">
        <v>2100.98</v>
      </c>
      <c r="D6" s="70">
        <v>1365.64</v>
      </c>
      <c r="E6" s="72">
        <f t="shared" ref="E6:E69" si="1">C6-D6</f>
        <v>735.33999999999992</v>
      </c>
      <c r="F6" s="72">
        <f t="shared" ref="F6:F21" si="2">C6*8%</f>
        <v>168.07840000000002</v>
      </c>
      <c r="G6" s="76">
        <v>44476</v>
      </c>
      <c r="H6" s="74">
        <f>H5</f>
        <v>44445</v>
      </c>
      <c r="I6" s="244">
        <f t="shared" ref="I6:I21" si="3">G6-H6</f>
        <v>31</v>
      </c>
      <c r="J6" s="391">
        <f>J5</f>
        <v>0</v>
      </c>
      <c r="K6" s="72">
        <f t="shared" si="0"/>
        <v>0</v>
      </c>
      <c r="L6" s="71" t="s">
        <v>150</v>
      </c>
      <c r="M6" s="71" t="s">
        <v>154</v>
      </c>
    </row>
    <row r="7" spans="1:14" ht="16.5" customHeight="1" x14ac:dyDescent="0.25">
      <c r="A7" s="176">
        <v>0.65</v>
      </c>
      <c r="B7" s="73" t="s">
        <v>3</v>
      </c>
      <c r="C7" s="72">
        <v>2715.58</v>
      </c>
      <c r="D7" s="70">
        <v>1000</v>
      </c>
      <c r="E7" s="72">
        <v>0</v>
      </c>
      <c r="F7" s="72">
        <f t="shared" si="2"/>
        <v>217.24639999999999</v>
      </c>
      <c r="G7" s="311">
        <v>44470</v>
      </c>
      <c r="H7" s="74">
        <f>H6</f>
        <v>44445</v>
      </c>
      <c r="I7" s="244">
        <f t="shared" si="3"/>
        <v>25</v>
      </c>
      <c r="J7" s="391">
        <f t="shared" ref="J7:J69" si="4">J6</f>
        <v>0</v>
      </c>
      <c r="K7" s="72">
        <f t="shared" si="0"/>
        <v>0</v>
      </c>
      <c r="L7" s="71" t="s">
        <v>150</v>
      </c>
      <c r="M7" s="71" t="s">
        <v>154</v>
      </c>
    </row>
    <row r="8" spans="1:14" ht="16.5" customHeight="1" x14ac:dyDescent="0.25">
      <c r="A8" s="176">
        <v>0.65</v>
      </c>
      <c r="B8" s="73" t="s">
        <v>3</v>
      </c>
      <c r="C8" s="72">
        <v>0</v>
      </c>
      <c r="D8" s="70">
        <v>765.13000000000011</v>
      </c>
      <c r="E8" s="72">
        <f>C7-D7-D8</f>
        <v>950.44999999999982</v>
      </c>
      <c r="F8" s="72">
        <f t="shared" si="2"/>
        <v>0</v>
      </c>
      <c r="G8" s="311">
        <v>44477</v>
      </c>
      <c r="H8" s="74">
        <f t="shared" ref="H8:H49" si="5">H7</f>
        <v>44445</v>
      </c>
      <c r="I8" s="244">
        <f t="shared" si="3"/>
        <v>32</v>
      </c>
      <c r="J8" s="391">
        <f t="shared" si="4"/>
        <v>0</v>
      </c>
      <c r="K8" s="72">
        <f t="shared" si="0"/>
        <v>0</v>
      </c>
      <c r="L8" s="71" t="s">
        <v>150</v>
      </c>
      <c r="M8" s="71" t="s">
        <v>152</v>
      </c>
    </row>
    <row r="9" spans="1:14" ht="16.5" customHeight="1" x14ac:dyDescent="0.25">
      <c r="A9" s="176">
        <v>0.65</v>
      </c>
      <c r="B9" s="73" t="s">
        <v>5</v>
      </c>
      <c r="C9" s="72">
        <v>9143.5300000000007</v>
      </c>
      <c r="D9" s="70">
        <v>1000</v>
      </c>
      <c r="E9" s="72">
        <v>0</v>
      </c>
      <c r="F9" s="72">
        <f t="shared" si="2"/>
        <v>731.4824000000001</v>
      </c>
      <c r="G9" s="311">
        <v>44462</v>
      </c>
      <c r="H9" s="74">
        <f t="shared" si="5"/>
        <v>44445</v>
      </c>
      <c r="I9" s="244">
        <f t="shared" si="3"/>
        <v>17</v>
      </c>
      <c r="J9" s="391">
        <f t="shared" si="4"/>
        <v>0</v>
      </c>
      <c r="K9" s="72">
        <f t="shared" si="0"/>
        <v>0</v>
      </c>
      <c r="L9" s="71" t="s">
        <v>150</v>
      </c>
      <c r="M9" s="71" t="s">
        <v>152</v>
      </c>
    </row>
    <row r="10" spans="1:14" ht="16.5" customHeight="1" x14ac:dyDescent="0.25">
      <c r="A10" s="176">
        <v>0.65</v>
      </c>
      <c r="B10" s="73" t="s">
        <v>5</v>
      </c>
      <c r="C10" s="72">
        <v>0</v>
      </c>
      <c r="D10" s="70">
        <v>1500</v>
      </c>
      <c r="E10" s="72">
        <v>0</v>
      </c>
      <c r="F10" s="72">
        <f t="shared" si="2"/>
        <v>0</v>
      </c>
      <c r="G10" s="311">
        <v>44482</v>
      </c>
      <c r="H10" s="74">
        <f t="shared" si="5"/>
        <v>44445</v>
      </c>
      <c r="I10" s="244">
        <f t="shared" si="3"/>
        <v>37</v>
      </c>
      <c r="J10" s="391">
        <f t="shared" si="4"/>
        <v>0</v>
      </c>
      <c r="K10" s="72">
        <f t="shared" si="0"/>
        <v>0</v>
      </c>
      <c r="L10" s="71" t="s">
        <v>158</v>
      </c>
      <c r="M10" s="71" t="s">
        <v>152</v>
      </c>
    </row>
    <row r="11" spans="1:14" ht="16.5" customHeight="1" x14ac:dyDescent="0.25">
      <c r="A11" s="176">
        <v>0.65</v>
      </c>
      <c r="B11" s="73" t="s">
        <v>5</v>
      </c>
      <c r="C11" s="72">
        <v>0</v>
      </c>
      <c r="D11" s="70">
        <v>1500</v>
      </c>
      <c r="E11" s="72">
        <v>0</v>
      </c>
      <c r="F11" s="72">
        <f t="shared" si="2"/>
        <v>0</v>
      </c>
      <c r="G11" s="311">
        <v>44483</v>
      </c>
      <c r="H11" s="74">
        <f t="shared" si="5"/>
        <v>44445</v>
      </c>
      <c r="I11" s="244">
        <f t="shared" si="3"/>
        <v>38</v>
      </c>
      <c r="J11" s="391">
        <f t="shared" si="4"/>
        <v>0</v>
      </c>
      <c r="K11" s="72">
        <f t="shared" si="0"/>
        <v>0</v>
      </c>
      <c r="L11" s="71" t="s">
        <v>150</v>
      </c>
      <c r="M11" s="71" t="s">
        <v>154</v>
      </c>
    </row>
    <row r="12" spans="1:14" ht="16.5" customHeight="1" x14ac:dyDescent="0.25">
      <c r="A12" s="176">
        <v>0.65</v>
      </c>
      <c r="B12" s="73" t="s">
        <v>5</v>
      </c>
      <c r="C12" s="72">
        <v>0</v>
      </c>
      <c r="D12" s="70">
        <v>1943.29</v>
      </c>
      <c r="E12" s="72">
        <f>C9-D9-D10-D11-D12</f>
        <v>3200.2400000000007</v>
      </c>
      <c r="F12" s="72">
        <f t="shared" si="2"/>
        <v>0</v>
      </c>
      <c r="G12" s="311">
        <v>44504</v>
      </c>
      <c r="H12" s="74">
        <f t="shared" si="5"/>
        <v>44445</v>
      </c>
      <c r="I12" s="244">
        <f t="shared" si="3"/>
        <v>59</v>
      </c>
      <c r="J12" s="391">
        <f t="shared" si="4"/>
        <v>0</v>
      </c>
      <c r="K12" s="72">
        <f t="shared" si="0"/>
        <v>0</v>
      </c>
      <c r="L12" s="71" t="s">
        <v>150</v>
      </c>
      <c r="M12" s="71" t="s">
        <v>154</v>
      </c>
    </row>
    <row r="13" spans="1:14" ht="16.5" customHeight="1" x14ac:dyDescent="0.25">
      <c r="A13" s="176">
        <v>0.65</v>
      </c>
      <c r="B13" s="77" t="s">
        <v>6</v>
      </c>
      <c r="C13" s="72">
        <v>3670.13</v>
      </c>
      <c r="D13" s="70">
        <v>1000</v>
      </c>
      <c r="E13" s="72">
        <v>0</v>
      </c>
      <c r="F13" s="72">
        <f t="shared" si="2"/>
        <v>293.61040000000003</v>
      </c>
      <c r="G13" s="76">
        <v>44470</v>
      </c>
      <c r="H13" s="74">
        <f t="shared" si="5"/>
        <v>44445</v>
      </c>
      <c r="I13" s="244">
        <f t="shared" si="3"/>
        <v>25</v>
      </c>
      <c r="J13" s="391">
        <f t="shared" si="4"/>
        <v>0</v>
      </c>
      <c r="K13" s="72">
        <f t="shared" si="0"/>
        <v>0</v>
      </c>
      <c r="L13" s="71" t="s">
        <v>150</v>
      </c>
      <c r="M13" s="71" t="s">
        <v>154</v>
      </c>
    </row>
    <row r="14" spans="1:14" ht="16.5" customHeight="1" x14ac:dyDescent="0.25">
      <c r="A14" s="176">
        <v>0.65</v>
      </c>
      <c r="B14" s="77" t="s">
        <v>6</v>
      </c>
      <c r="C14" s="72">
        <v>0</v>
      </c>
      <c r="D14" s="70">
        <v>1385.58</v>
      </c>
      <c r="E14" s="72">
        <f>C13-D13-D14</f>
        <v>1284.5500000000002</v>
      </c>
      <c r="F14" s="72">
        <f t="shared" si="2"/>
        <v>0</v>
      </c>
      <c r="G14" s="76">
        <v>44482</v>
      </c>
      <c r="H14" s="74">
        <f t="shared" si="5"/>
        <v>44445</v>
      </c>
      <c r="I14" s="244">
        <f t="shared" si="3"/>
        <v>37</v>
      </c>
      <c r="J14" s="391">
        <f t="shared" si="4"/>
        <v>0</v>
      </c>
      <c r="K14" s="72">
        <f t="shared" si="0"/>
        <v>0</v>
      </c>
      <c r="L14" s="71" t="s">
        <v>158</v>
      </c>
      <c r="M14" s="71" t="s">
        <v>152</v>
      </c>
      <c r="N14" s="219" t="s">
        <v>196</v>
      </c>
    </row>
    <row r="15" spans="1:14" ht="16.5" customHeight="1" x14ac:dyDescent="0.25">
      <c r="A15" s="176">
        <v>0.65</v>
      </c>
      <c r="B15" s="77" t="s">
        <v>7</v>
      </c>
      <c r="C15" s="72">
        <v>2452.66</v>
      </c>
      <c r="D15" s="70">
        <v>1594.23</v>
      </c>
      <c r="E15" s="72">
        <f t="shared" si="1"/>
        <v>858.42999999999984</v>
      </c>
      <c r="F15" s="72">
        <f t="shared" si="2"/>
        <v>196.21279999999999</v>
      </c>
      <c r="G15" s="76">
        <v>44476</v>
      </c>
      <c r="H15" s="74">
        <f t="shared" si="5"/>
        <v>44445</v>
      </c>
      <c r="I15" s="244">
        <f t="shared" si="3"/>
        <v>31</v>
      </c>
      <c r="J15" s="391">
        <f t="shared" si="4"/>
        <v>0</v>
      </c>
      <c r="K15" s="72">
        <f t="shared" si="0"/>
        <v>0</v>
      </c>
      <c r="L15" s="71" t="s">
        <v>158</v>
      </c>
      <c r="M15" s="71" t="s">
        <v>152</v>
      </c>
      <c r="N15" s="219" t="s">
        <v>196</v>
      </c>
    </row>
    <row r="16" spans="1:14" ht="16.5" customHeight="1" x14ac:dyDescent="0.25">
      <c r="A16" s="176">
        <v>0.65</v>
      </c>
      <c r="B16" s="77" t="s">
        <v>8</v>
      </c>
      <c r="C16" s="72">
        <v>4027.1</v>
      </c>
      <c r="D16" s="70">
        <v>0</v>
      </c>
      <c r="E16" s="72">
        <f t="shared" si="1"/>
        <v>4027.1</v>
      </c>
      <c r="F16" s="72">
        <f t="shared" si="2"/>
        <v>322.16800000000001</v>
      </c>
      <c r="G16" s="76"/>
      <c r="H16" s="74">
        <f t="shared" si="5"/>
        <v>44445</v>
      </c>
      <c r="I16" s="244">
        <v>0</v>
      </c>
      <c r="J16" s="391">
        <f t="shared" si="4"/>
        <v>0</v>
      </c>
      <c r="K16" s="72">
        <f t="shared" si="0"/>
        <v>0</v>
      </c>
      <c r="L16" s="71" t="s">
        <v>150</v>
      </c>
      <c r="M16" s="71" t="s">
        <v>152</v>
      </c>
      <c r="N16" s="219" t="s">
        <v>196</v>
      </c>
    </row>
    <row r="17" spans="1:14" ht="16.5" customHeight="1" x14ac:dyDescent="0.25">
      <c r="A17" s="176">
        <v>0.65</v>
      </c>
      <c r="B17" s="77" t="s">
        <v>9</v>
      </c>
      <c r="C17" s="72">
        <v>4184.4799999999996</v>
      </c>
      <c r="D17" s="70">
        <v>0</v>
      </c>
      <c r="E17" s="72">
        <f t="shared" si="1"/>
        <v>4184.4799999999996</v>
      </c>
      <c r="F17" s="72">
        <f t="shared" si="2"/>
        <v>334.75839999999999</v>
      </c>
      <c r="G17" s="76"/>
      <c r="H17" s="74">
        <f t="shared" si="5"/>
        <v>44445</v>
      </c>
      <c r="I17" s="244">
        <v>0</v>
      </c>
      <c r="J17" s="391">
        <f t="shared" si="4"/>
        <v>0</v>
      </c>
      <c r="K17" s="72">
        <f t="shared" si="0"/>
        <v>0</v>
      </c>
      <c r="L17" s="71" t="s">
        <v>150</v>
      </c>
      <c r="M17" s="71" t="s">
        <v>154</v>
      </c>
      <c r="N17" s="219" t="s">
        <v>196</v>
      </c>
    </row>
    <row r="18" spans="1:14" ht="16.5" customHeight="1" x14ac:dyDescent="0.25">
      <c r="A18" s="176">
        <v>0.65</v>
      </c>
      <c r="B18" s="77" t="s">
        <v>11</v>
      </c>
      <c r="C18" s="72">
        <v>2652.12</v>
      </c>
      <c r="D18" s="70">
        <v>0</v>
      </c>
      <c r="E18" s="72">
        <f t="shared" si="1"/>
        <v>2652.12</v>
      </c>
      <c r="F18" s="72">
        <f t="shared" si="2"/>
        <v>212.1696</v>
      </c>
      <c r="G18" s="76"/>
      <c r="H18" s="74">
        <f t="shared" si="5"/>
        <v>44445</v>
      </c>
      <c r="I18" s="244">
        <v>0</v>
      </c>
      <c r="J18" s="391">
        <f t="shared" si="4"/>
        <v>0</v>
      </c>
      <c r="K18" s="72">
        <f t="shared" si="0"/>
        <v>0</v>
      </c>
      <c r="L18" s="71" t="s">
        <v>150</v>
      </c>
      <c r="M18" s="71" t="s">
        <v>154</v>
      </c>
    </row>
    <row r="19" spans="1:14" ht="16.5" customHeight="1" x14ac:dyDescent="0.25">
      <c r="A19" s="176"/>
      <c r="B19" s="77" t="s">
        <v>12</v>
      </c>
      <c r="C19" s="72">
        <v>1316.51</v>
      </c>
      <c r="D19" s="70">
        <v>0</v>
      </c>
      <c r="E19" s="72">
        <f t="shared" si="1"/>
        <v>1316.51</v>
      </c>
      <c r="F19" s="72">
        <f t="shared" si="2"/>
        <v>105.32080000000001</v>
      </c>
      <c r="G19" s="76"/>
      <c r="H19" s="74">
        <f t="shared" si="5"/>
        <v>44445</v>
      </c>
      <c r="I19" s="244">
        <v>0</v>
      </c>
      <c r="J19" s="391">
        <f t="shared" si="4"/>
        <v>0</v>
      </c>
      <c r="K19" s="72">
        <f t="shared" si="0"/>
        <v>0</v>
      </c>
      <c r="L19" s="71"/>
      <c r="M19" s="71"/>
    </row>
    <row r="20" spans="1:14" ht="16.5" customHeight="1" x14ac:dyDescent="0.25">
      <c r="A20" s="176"/>
      <c r="B20" s="77" t="s">
        <v>13</v>
      </c>
      <c r="C20" s="72">
        <v>1770.89</v>
      </c>
      <c r="D20" s="58">
        <v>1151.08</v>
      </c>
      <c r="E20" s="72">
        <f t="shared" si="1"/>
        <v>619.81000000000017</v>
      </c>
      <c r="F20" s="72">
        <f t="shared" si="2"/>
        <v>141.6712</v>
      </c>
      <c r="G20" s="76">
        <v>44538</v>
      </c>
      <c r="H20" s="74">
        <f t="shared" si="5"/>
        <v>44445</v>
      </c>
      <c r="I20" s="244">
        <f t="shared" si="3"/>
        <v>93</v>
      </c>
      <c r="J20" s="391">
        <f t="shared" si="4"/>
        <v>0</v>
      </c>
      <c r="K20" s="72">
        <f t="shared" si="0"/>
        <v>0</v>
      </c>
      <c r="L20" s="71"/>
      <c r="M20" s="71"/>
    </row>
    <row r="21" spans="1:14" ht="16.5" customHeight="1" x14ac:dyDescent="0.25">
      <c r="A21" s="318"/>
      <c r="B21" s="319" t="s">
        <v>104</v>
      </c>
      <c r="C21" s="320">
        <v>2846.77</v>
      </c>
      <c r="D21" s="58">
        <v>1850.4</v>
      </c>
      <c r="E21" s="320">
        <f t="shared" si="1"/>
        <v>996.36999999999989</v>
      </c>
      <c r="F21" s="72">
        <f t="shared" si="2"/>
        <v>227.74160000000001</v>
      </c>
      <c r="G21" s="321">
        <v>44483</v>
      </c>
      <c r="H21" s="322">
        <f t="shared" si="5"/>
        <v>44445</v>
      </c>
      <c r="I21" s="244">
        <f t="shared" si="3"/>
        <v>38</v>
      </c>
      <c r="J21" s="391">
        <f t="shared" si="4"/>
        <v>0</v>
      </c>
      <c r="K21" s="72">
        <f t="shared" si="0"/>
        <v>0</v>
      </c>
      <c r="L21" s="71"/>
      <c r="M21" s="71"/>
    </row>
    <row r="22" spans="1:14" ht="16.5" customHeight="1" x14ac:dyDescent="0.25">
      <c r="A22" s="190"/>
      <c r="B22" s="181" t="s">
        <v>156</v>
      </c>
      <c r="C22" s="181">
        <f>SUM(C5:C21)</f>
        <v>39371.009999999995</v>
      </c>
      <c r="D22" s="181">
        <f>SUM(D5:D21)</f>
        <v>17674.02</v>
      </c>
      <c r="E22" s="317">
        <f>SUM(E5:E21)</f>
        <v>21696.989999999998</v>
      </c>
      <c r="F22" s="181">
        <f>SUM(F5:F21)</f>
        <v>3149.6808000000005</v>
      </c>
      <c r="G22" s="181"/>
      <c r="H22" s="251"/>
      <c r="I22" s="181"/>
      <c r="J22" s="392"/>
      <c r="K22" s="181">
        <f>SUM(K5:K21)</f>
        <v>0</v>
      </c>
      <c r="L22" s="71" t="s">
        <v>158</v>
      </c>
      <c r="M22" s="71" t="s">
        <v>151</v>
      </c>
    </row>
    <row r="23" spans="1:14" ht="16.5" customHeight="1" x14ac:dyDescent="0.25">
      <c r="A23" s="176">
        <v>0.8</v>
      </c>
      <c r="B23" s="73" t="s">
        <v>19</v>
      </c>
      <c r="C23" s="72">
        <v>2737.19</v>
      </c>
      <c r="D23" s="70">
        <v>1000</v>
      </c>
      <c r="E23" s="72">
        <v>0</v>
      </c>
      <c r="F23" s="72">
        <f>C23*8%</f>
        <v>218.9752</v>
      </c>
      <c r="G23" s="76">
        <v>44470</v>
      </c>
      <c r="H23" s="74">
        <f>H21</f>
        <v>44445</v>
      </c>
      <c r="I23" s="232">
        <f>G23-H23</f>
        <v>25</v>
      </c>
      <c r="J23" s="391">
        <f>J21</f>
        <v>0</v>
      </c>
      <c r="K23" s="72">
        <f t="shared" ref="K23:K49" si="6">SUM(E23)*J23</f>
        <v>0</v>
      </c>
      <c r="L23" s="71" t="s">
        <v>150</v>
      </c>
      <c r="M23" s="71" t="s">
        <v>152</v>
      </c>
    </row>
    <row r="24" spans="1:14" ht="16.5" customHeight="1" x14ac:dyDescent="0.25">
      <c r="A24" s="176">
        <v>0.8</v>
      </c>
      <c r="B24" s="73" t="s">
        <v>19</v>
      </c>
      <c r="C24" s="72">
        <v>0</v>
      </c>
      <c r="D24" s="70">
        <f>ROUND(C23*A23,2)-D23</f>
        <v>1189.75</v>
      </c>
      <c r="E24" s="72">
        <f>C23-D23-D24</f>
        <v>547.44000000000005</v>
      </c>
      <c r="F24" s="72">
        <f t="shared" ref="F24:F49" si="7">C24*8%</f>
        <v>0</v>
      </c>
      <c r="G24" s="76">
        <v>44477</v>
      </c>
      <c r="H24" s="74">
        <f t="shared" si="5"/>
        <v>44445</v>
      </c>
      <c r="I24" s="232">
        <f t="shared" ref="I24:I49" si="8">G24-H24</f>
        <v>32</v>
      </c>
      <c r="J24" s="391">
        <f t="shared" si="4"/>
        <v>0</v>
      </c>
      <c r="K24" s="72">
        <f t="shared" si="6"/>
        <v>0</v>
      </c>
      <c r="L24" s="71" t="s">
        <v>158</v>
      </c>
      <c r="M24" s="71" t="s">
        <v>151</v>
      </c>
    </row>
    <row r="25" spans="1:14" ht="16.5" customHeight="1" x14ac:dyDescent="0.25">
      <c r="A25" s="176">
        <v>0.8</v>
      </c>
      <c r="B25" s="73" t="s">
        <v>20</v>
      </c>
      <c r="C25" s="72">
        <v>2918.33</v>
      </c>
      <c r="D25" s="70">
        <f t="shared" ref="D25:D36" si="9">ROUND(C25*A25,2)</f>
        <v>2334.66</v>
      </c>
      <c r="E25" s="72">
        <f t="shared" si="1"/>
        <v>583.67000000000007</v>
      </c>
      <c r="F25" s="72">
        <f t="shared" si="7"/>
        <v>233.46639999999999</v>
      </c>
      <c r="G25" s="311">
        <v>44539</v>
      </c>
      <c r="H25" s="74">
        <f t="shared" si="5"/>
        <v>44445</v>
      </c>
      <c r="I25" s="232">
        <f t="shared" si="8"/>
        <v>94</v>
      </c>
      <c r="J25" s="391">
        <f t="shared" si="4"/>
        <v>0</v>
      </c>
      <c r="K25" s="72">
        <f t="shared" si="6"/>
        <v>0</v>
      </c>
      <c r="L25" s="71" t="s">
        <v>150</v>
      </c>
      <c r="M25" s="71" t="s">
        <v>154</v>
      </c>
    </row>
    <row r="26" spans="1:14" ht="16.5" customHeight="1" x14ac:dyDescent="0.25">
      <c r="A26" s="176">
        <v>0.8</v>
      </c>
      <c r="B26" s="73" t="s">
        <v>21</v>
      </c>
      <c r="C26" s="72">
        <v>572.1</v>
      </c>
      <c r="D26" s="70">
        <f>ROUND(C26*A26,2)</f>
        <v>457.68</v>
      </c>
      <c r="E26" s="72">
        <f t="shared" si="1"/>
        <v>114.42000000000002</v>
      </c>
      <c r="F26" s="72">
        <f t="shared" si="7"/>
        <v>45.768000000000001</v>
      </c>
      <c r="G26" s="311">
        <v>44449</v>
      </c>
      <c r="H26" s="74">
        <f t="shared" si="5"/>
        <v>44445</v>
      </c>
      <c r="I26" s="232">
        <f t="shared" si="8"/>
        <v>4</v>
      </c>
      <c r="J26" s="391">
        <f t="shared" si="4"/>
        <v>0</v>
      </c>
      <c r="K26" s="72">
        <f t="shared" si="6"/>
        <v>0</v>
      </c>
      <c r="L26" s="71" t="s">
        <v>158</v>
      </c>
      <c r="M26" s="71" t="s">
        <v>159</v>
      </c>
      <c r="N26" s="165"/>
    </row>
    <row r="27" spans="1:14" ht="16.5" customHeight="1" x14ac:dyDescent="0.25">
      <c r="A27" s="176">
        <v>0.8</v>
      </c>
      <c r="B27" s="73" t="s">
        <v>22</v>
      </c>
      <c r="C27" s="72">
        <v>3724.99</v>
      </c>
      <c r="D27" s="70">
        <v>1000</v>
      </c>
      <c r="E27" s="72">
        <v>0</v>
      </c>
      <c r="F27" s="72">
        <f t="shared" si="7"/>
        <v>297.99919999999997</v>
      </c>
      <c r="G27" s="311">
        <v>44449</v>
      </c>
      <c r="H27" s="74">
        <f t="shared" si="5"/>
        <v>44445</v>
      </c>
      <c r="I27" s="232">
        <f t="shared" si="8"/>
        <v>4</v>
      </c>
      <c r="J27" s="391">
        <f t="shared" si="4"/>
        <v>0</v>
      </c>
      <c r="K27" s="72">
        <f t="shared" si="6"/>
        <v>0</v>
      </c>
      <c r="L27" s="71" t="s">
        <v>158</v>
      </c>
      <c r="M27" s="71" t="s">
        <v>152</v>
      </c>
    </row>
    <row r="28" spans="1:14" ht="16.5" customHeight="1" x14ac:dyDescent="0.25">
      <c r="A28" s="176">
        <v>0.8</v>
      </c>
      <c r="B28" s="73" t="s">
        <v>22</v>
      </c>
      <c r="C28" s="72">
        <v>0</v>
      </c>
      <c r="D28" s="70">
        <f>ROUND(C27*A27,2)-D27</f>
        <v>1979.9899999999998</v>
      </c>
      <c r="E28" s="72">
        <f>C27-D27-D28</f>
        <v>745</v>
      </c>
      <c r="F28" s="72">
        <f t="shared" si="7"/>
        <v>0</v>
      </c>
      <c r="G28" s="311">
        <v>44482</v>
      </c>
      <c r="H28" s="74">
        <f t="shared" si="5"/>
        <v>44445</v>
      </c>
      <c r="I28" s="232">
        <f t="shared" si="8"/>
        <v>37</v>
      </c>
      <c r="J28" s="391">
        <f t="shared" si="4"/>
        <v>0</v>
      </c>
      <c r="K28" s="72">
        <f t="shared" si="6"/>
        <v>0</v>
      </c>
      <c r="L28" s="71" t="s">
        <v>158</v>
      </c>
      <c r="M28" s="71" t="s">
        <v>152</v>
      </c>
    </row>
    <row r="29" spans="1:14" ht="16.5" customHeight="1" x14ac:dyDescent="0.25">
      <c r="A29" s="176">
        <v>0.8</v>
      </c>
      <c r="B29" s="73" t="s">
        <v>23</v>
      </c>
      <c r="C29" s="72">
        <v>4519.8</v>
      </c>
      <c r="D29" s="70">
        <f t="shared" si="9"/>
        <v>3615.84</v>
      </c>
      <c r="E29" s="72">
        <f t="shared" si="1"/>
        <v>903.96</v>
      </c>
      <c r="F29" s="72">
        <f t="shared" si="7"/>
        <v>361.584</v>
      </c>
      <c r="G29" s="311">
        <v>44476</v>
      </c>
      <c r="H29" s="74">
        <f t="shared" si="5"/>
        <v>44445</v>
      </c>
      <c r="I29" s="232">
        <f t="shared" si="8"/>
        <v>31</v>
      </c>
      <c r="J29" s="391">
        <f t="shared" si="4"/>
        <v>0</v>
      </c>
      <c r="K29" s="72">
        <f t="shared" si="6"/>
        <v>0</v>
      </c>
      <c r="L29" s="71" t="s">
        <v>150</v>
      </c>
      <c r="M29" s="71" t="s">
        <v>154</v>
      </c>
    </row>
    <row r="30" spans="1:14" ht="16.5" customHeight="1" x14ac:dyDescent="0.25">
      <c r="A30" s="176">
        <v>0.8</v>
      </c>
      <c r="B30" s="77" t="s">
        <v>24</v>
      </c>
      <c r="C30" s="72">
        <v>824.58</v>
      </c>
      <c r="D30" s="70">
        <f t="shared" si="9"/>
        <v>659.66</v>
      </c>
      <c r="E30" s="72">
        <f t="shared" si="1"/>
        <v>164.92000000000007</v>
      </c>
      <c r="F30" s="72">
        <f t="shared" si="7"/>
        <v>65.966400000000007</v>
      </c>
      <c r="G30" s="311">
        <v>44476</v>
      </c>
      <c r="H30" s="74">
        <f t="shared" si="5"/>
        <v>44445</v>
      </c>
      <c r="I30" s="232">
        <f t="shared" si="8"/>
        <v>31</v>
      </c>
      <c r="J30" s="391">
        <f t="shared" si="4"/>
        <v>0</v>
      </c>
      <c r="K30" s="72">
        <f t="shared" si="6"/>
        <v>0</v>
      </c>
      <c r="L30" s="71" t="s">
        <v>150</v>
      </c>
      <c r="M30" s="71" t="s">
        <v>152</v>
      </c>
      <c r="N30" s="219"/>
    </row>
    <row r="31" spans="1:14" ht="16.5" customHeight="1" x14ac:dyDescent="0.25">
      <c r="A31" s="176">
        <v>0.8</v>
      </c>
      <c r="B31" s="73" t="s">
        <v>25</v>
      </c>
      <c r="C31" s="72">
        <v>9025.4500000000007</v>
      </c>
      <c r="D31" s="70">
        <v>1000</v>
      </c>
      <c r="E31" s="72">
        <v>0</v>
      </c>
      <c r="F31" s="72">
        <f t="shared" si="7"/>
        <v>722.03600000000006</v>
      </c>
      <c r="G31" s="311">
        <v>44462</v>
      </c>
      <c r="H31" s="74">
        <f t="shared" si="5"/>
        <v>44445</v>
      </c>
      <c r="I31" s="232">
        <f t="shared" si="8"/>
        <v>17</v>
      </c>
      <c r="J31" s="391">
        <f t="shared" si="4"/>
        <v>0</v>
      </c>
      <c r="K31" s="72">
        <f t="shared" si="6"/>
        <v>0</v>
      </c>
      <c r="L31" s="71" t="s">
        <v>158</v>
      </c>
      <c r="M31" s="71" t="s">
        <v>151</v>
      </c>
    </row>
    <row r="32" spans="1:14" ht="16.5" customHeight="1" x14ac:dyDescent="0.25">
      <c r="A32" s="176">
        <v>0.8</v>
      </c>
      <c r="B32" s="73" t="s">
        <v>25</v>
      </c>
      <c r="C32" s="72">
        <v>0</v>
      </c>
      <c r="D32" s="70">
        <v>1400</v>
      </c>
      <c r="E32" s="72">
        <v>0</v>
      </c>
      <c r="F32" s="72">
        <f t="shared" si="7"/>
        <v>0</v>
      </c>
      <c r="G32" s="311">
        <v>44477</v>
      </c>
      <c r="H32" s="74">
        <f t="shared" si="5"/>
        <v>44445</v>
      </c>
      <c r="I32" s="232">
        <f t="shared" si="8"/>
        <v>32</v>
      </c>
      <c r="J32" s="391">
        <f t="shared" si="4"/>
        <v>0</v>
      </c>
      <c r="K32" s="72">
        <f t="shared" si="6"/>
        <v>0</v>
      </c>
      <c r="L32" s="71" t="s">
        <v>150</v>
      </c>
      <c r="M32" s="71" t="s">
        <v>154</v>
      </c>
    </row>
    <row r="33" spans="1:14" ht="16.5" customHeight="1" x14ac:dyDescent="0.25">
      <c r="A33" s="176">
        <v>0.8</v>
      </c>
      <c r="B33" s="73" t="s">
        <v>25</v>
      </c>
      <c r="C33" s="72">
        <v>0</v>
      </c>
      <c r="D33" s="70">
        <v>1000</v>
      </c>
      <c r="E33" s="72">
        <v>0</v>
      </c>
      <c r="F33" s="72">
        <f t="shared" si="7"/>
        <v>0</v>
      </c>
      <c r="G33" s="311">
        <v>44482</v>
      </c>
      <c r="H33" s="74">
        <f t="shared" si="5"/>
        <v>44445</v>
      </c>
      <c r="I33" s="232">
        <f t="shared" si="8"/>
        <v>37</v>
      </c>
      <c r="J33" s="391">
        <f t="shared" si="4"/>
        <v>0</v>
      </c>
      <c r="K33" s="72">
        <f t="shared" si="6"/>
        <v>0</v>
      </c>
      <c r="L33" s="71" t="s">
        <v>150</v>
      </c>
      <c r="M33" s="71" t="s">
        <v>154</v>
      </c>
    </row>
    <row r="34" spans="1:14" ht="16.5" customHeight="1" x14ac:dyDescent="0.25">
      <c r="A34" s="176">
        <v>0.8</v>
      </c>
      <c r="B34" s="73" t="s">
        <v>25</v>
      </c>
      <c r="C34" s="72">
        <v>0</v>
      </c>
      <c r="D34" s="70">
        <v>1000</v>
      </c>
      <c r="E34" s="72">
        <v>0</v>
      </c>
      <c r="F34" s="72">
        <f t="shared" si="7"/>
        <v>0</v>
      </c>
      <c r="G34" s="311">
        <v>44483</v>
      </c>
      <c r="H34" s="74">
        <f t="shared" si="5"/>
        <v>44445</v>
      </c>
      <c r="I34" s="232">
        <f t="shared" si="8"/>
        <v>38</v>
      </c>
      <c r="J34" s="391">
        <f t="shared" si="4"/>
        <v>0</v>
      </c>
      <c r="K34" s="72">
        <f t="shared" si="6"/>
        <v>0</v>
      </c>
      <c r="L34" s="71" t="s">
        <v>150</v>
      </c>
      <c r="M34" s="71" t="s">
        <v>154</v>
      </c>
    </row>
    <row r="35" spans="1:14" ht="16.5" customHeight="1" x14ac:dyDescent="0.25">
      <c r="A35" s="176">
        <v>0.8</v>
      </c>
      <c r="B35" s="73" t="s">
        <v>25</v>
      </c>
      <c r="C35" s="72">
        <v>0</v>
      </c>
      <c r="D35" s="70">
        <f>ROUND(C31*A31,2)-D31-D32-D33-D34</f>
        <v>2820.3599999999997</v>
      </c>
      <c r="E35" s="72">
        <f>C31-D31-D32-D33-D34-D35</f>
        <v>1805.0900000000011</v>
      </c>
      <c r="F35" s="72">
        <f t="shared" si="7"/>
        <v>0</v>
      </c>
      <c r="G35" s="311">
        <v>44504</v>
      </c>
      <c r="H35" s="74">
        <f t="shared" si="5"/>
        <v>44445</v>
      </c>
      <c r="I35" s="232">
        <f t="shared" si="8"/>
        <v>59</v>
      </c>
      <c r="J35" s="391">
        <f t="shared" si="4"/>
        <v>0</v>
      </c>
      <c r="K35" s="72">
        <f t="shared" si="6"/>
        <v>0</v>
      </c>
      <c r="L35" s="71" t="s">
        <v>158</v>
      </c>
      <c r="M35" s="71" t="s">
        <v>151</v>
      </c>
      <c r="N35" s="219" t="s">
        <v>196</v>
      </c>
    </row>
    <row r="36" spans="1:14" ht="16.5" customHeight="1" x14ac:dyDescent="0.25">
      <c r="A36" s="176">
        <v>0.8</v>
      </c>
      <c r="B36" s="73" t="s">
        <v>60</v>
      </c>
      <c r="C36" s="72">
        <v>590.51</v>
      </c>
      <c r="D36" s="70">
        <f t="shared" si="9"/>
        <v>472.41</v>
      </c>
      <c r="E36" s="72">
        <f t="shared" si="1"/>
        <v>118.09999999999997</v>
      </c>
      <c r="F36" s="72">
        <f t="shared" si="7"/>
        <v>47.2408</v>
      </c>
      <c r="G36" s="311">
        <v>44449</v>
      </c>
      <c r="H36" s="74">
        <f t="shared" si="5"/>
        <v>44445</v>
      </c>
      <c r="I36" s="232">
        <f t="shared" si="8"/>
        <v>4</v>
      </c>
      <c r="J36" s="391">
        <f t="shared" si="4"/>
        <v>0</v>
      </c>
      <c r="K36" s="72">
        <f t="shared" si="6"/>
        <v>0</v>
      </c>
      <c r="L36" s="71" t="s">
        <v>158</v>
      </c>
      <c r="M36" s="71" t="s">
        <v>151</v>
      </c>
      <c r="N36" s="219" t="s">
        <v>196</v>
      </c>
    </row>
    <row r="37" spans="1:14" ht="16.5" customHeight="1" x14ac:dyDescent="0.25">
      <c r="A37" s="176">
        <v>0.8</v>
      </c>
      <c r="B37" s="73" t="s">
        <v>26</v>
      </c>
      <c r="C37" s="72">
        <v>6296.45</v>
      </c>
      <c r="D37" s="70">
        <v>0</v>
      </c>
      <c r="E37" s="72">
        <f t="shared" si="1"/>
        <v>6296.45</v>
      </c>
      <c r="F37" s="72">
        <f t="shared" si="7"/>
        <v>503.71600000000001</v>
      </c>
      <c r="G37" s="311"/>
      <c r="H37" s="74">
        <f t="shared" si="5"/>
        <v>44445</v>
      </c>
      <c r="I37" s="232">
        <v>0</v>
      </c>
      <c r="J37" s="391">
        <f t="shared" si="4"/>
        <v>0</v>
      </c>
      <c r="K37" s="72">
        <f t="shared" si="6"/>
        <v>0</v>
      </c>
      <c r="L37" s="71" t="s">
        <v>150</v>
      </c>
      <c r="M37" s="71" t="s">
        <v>154</v>
      </c>
    </row>
    <row r="38" spans="1:14" ht="16.5" customHeight="1" x14ac:dyDescent="0.25">
      <c r="A38" s="176">
        <v>0.8</v>
      </c>
      <c r="B38" s="73" t="s">
        <v>27</v>
      </c>
      <c r="C38" s="72">
        <v>3355.69</v>
      </c>
      <c r="D38" s="70">
        <v>0</v>
      </c>
      <c r="E38" s="72">
        <f t="shared" si="1"/>
        <v>3355.69</v>
      </c>
      <c r="F38" s="72">
        <f t="shared" si="7"/>
        <v>268.45519999999999</v>
      </c>
      <c r="G38" s="311"/>
      <c r="H38" s="74">
        <f t="shared" si="5"/>
        <v>44445</v>
      </c>
      <c r="I38" s="232">
        <v>0</v>
      </c>
      <c r="J38" s="391">
        <f t="shared" si="4"/>
        <v>0</v>
      </c>
      <c r="K38" s="72">
        <f t="shared" si="6"/>
        <v>0</v>
      </c>
      <c r="L38" s="71" t="s">
        <v>150</v>
      </c>
      <c r="M38" s="71" t="s">
        <v>152</v>
      </c>
      <c r="N38" s="219" t="s">
        <v>196</v>
      </c>
    </row>
    <row r="39" spans="1:14" ht="16.5" customHeight="1" x14ac:dyDescent="0.25">
      <c r="A39" s="176"/>
      <c r="B39" s="73" t="s">
        <v>28</v>
      </c>
      <c r="C39" s="72">
        <v>1594.56</v>
      </c>
      <c r="D39" s="70">
        <v>1000</v>
      </c>
      <c r="E39" s="72">
        <v>0</v>
      </c>
      <c r="F39" s="72">
        <f t="shared" si="7"/>
        <v>127.56480000000001</v>
      </c>
      <c r="G39" s="311">
        <v>44453</v>
      </c>
      <c r="H39" s="74">
        <f t="shared" si="5"/>
        <v>44445</v>
      </c>
      <c r="I39" s="232">
        <f t="shared" si="8"/>
        <v>8</v>
      </c>
      <c r="J39" s="391">
        <f t="shared" si="4"/>
        <v>0</v>
      </c>
      <c r="K39" s="72">
        <f t="shared" si="6"/>
        <v>0</v>
      </c>
      <c r="L39" s="71"/>
      <c r="M39" s="71"/>
      <c r="N39" s="219"/>
    </row>
    <row r="40" spans="1:14" ht="16.5" customHeight="1" x14ac:dyDescent="0.25">
      <c r="A40" s="176"/>
      <c r="B40" s="73" t="s">
        <v>28</v>
      </c>
      <c r="C40" s="72">
        <v>0</v>
      </c>
      <c r="D40" s="70">
        <v>275.64999999999998</v>
      </c>
      <c r="E40" s="72">
        <f>C39-D39-D40</f>
        <v>318.90999999999997</v>
      </c>
      <c r="F40" s="72">
        <f t="shared" si="7"/>
        <v>0</v>
      </c>
      <c r="G40" s="311">
        <v>44477</v>
      </c>
      <c r="H40" s="74">
        <f t="shared" si="5"/>
        <v>44445</v>
      </c>
      <c r="I40" s="232">
        <f t="shared" si="8"/>
        <v>32</v>
      </c>
      <c r="J40" s="391">
        <f t="shared" si="4"/>
        <v>0</v>
      </c>
      <c r="K40" s="72">
        <f t="shared" si="6"/>
        <v>0</v>
      </c>
      <c r="L40" s="71"/>
      <c r="M40" s="71"/>
      <c r="N40" s="219"/>
    </row>
    <row r="41" spans="1:14" ht="16.5" customHeight="1" x14ac:dyDescent="0.25">
      <c r="A41" s="176"/>
      <c r="B41" s="73" t="s">
        <v>29</v>
      </c>
      <c r="C41" s="72">
        <v>2389.0500000000002</v>
      </c>
      <c r="D41" s="70">
        <v>1911.24</v>
      </c>
      <c r="E41" s="72">
        <f t="shared" si="1"/>
        <v>477.81000000000017</v>
      </c>
      <c r="F41" s="72">
        <f t="shared" si="7"/>
        <v>191.12400000000002</v>
      </c>
      <c r="G41" s="311">
        <v>44538</v>
      </c>
      <c r="H41" s="74">
        <f t="shared" si="5"/>
        <v>44445</v>
      </c>
      <c r="I41" s="232">
        <f t="shared" si="8"/>
        <v>93</v>
      </c>
      <c r="J41" s="391">
        <f t="shared" si="4"/>
        <v>0</v>
      </c>
      <c r="K41" s="72">
        <f t="shared" si="6"/>
        <v>0</v>
      </c>
      <c r="L41" s="71"/>
      <c r="M41" s="71"/>
      <c r="N41" s="219"/>
    </row>
    <row r="42" spans="1:14" ht="16.5" customHeight="1" x14ac:dyDescent="0.25">
      <c r="A42" s="176"/>
      <c r="B42" s="73" t="s">
        <v>30</v>
      </c>
      <c r="C42" s="72">
        <v>4189.79</v>
      </c>
      <c r="D42" s="70">
        <v>1000</v>
      </c>
      <c r="E42" s="72">
        <v>0</v>
      </c>
      <c r="F42" s="72">
        <f t="shared" si="7"/>
        <v>335.1832</v>
      </c>
      <c r="G42" s="311">
        <v>44462</v>
      </c>
      <c r="H42" s="74">
        <f t="shared" si="5"/>
        <v>44445</v>
      </c>
      <c r="I42" s="232">
        <f t="shared" si="8"/>
        <v>17</v>
      </c>
      <c r="J42" s="391">
        <f t="shared" si="4"/>
        <v>0</v>
      </c>
      <c r="K42" s="72">
        <f t="shared" si="6"/>
        <v>0</v>
      </c>
      <c r="L42" s="71"/>
      <c r="M42" s="71"/>
      <c r="N42" s="219"/>
    </row>
    <row r="43" spans="1:14" ht="16.5" customHeight="1" x14ac:dyDescent="0.25">
      <c r="A43" s="176"/>
      <c r="B43" s="73" t="s">
        <v>30</v>
      </c>
      <c r="C43" s="72">
        <v>0</v>
      </c>
      <c r="D43" s="70">
        <v>1000</v>
      </c>
      <c r="E43" s="72">
        <v>0</v>
      </c>
      <c r="F43" s="72">
        <f t="shared" si="7"/>
        <v>0</v>
      </c>
      <c r="G43" s="311">
        <v>44482</v>
      </c>
      <c r="H43" s="74">
        <f t="shared" si="5"/>
        <v>44445</v>
      </c>
      <c r="I43" s="232">
        <f t="shared" si="8"/>
        <v>37</v>
      </c>
      <c r="J43" s="391">
        <f t="shared" si="4"/>
        <v>0</v>
      </c>
      <c r="K43" s="72">
        <f t="shared" si="6"/>
        <v>0</v>
      </c>
      <c r="L43" s="71"/>
      <c r="M43" s="71"/>
      <c r="N43" s="219"/>
    </row>
    <row r="44" spans="1:14" ht="16.5" customHeight="1" x14ac:dyDescent="0.25">
      <c r="A44" s="176">
        <v>0.8</v>
      </c>
      <c r="B44" s="73" t="s">
        <v>30</v>
      </c>
      <c r="C44" s="72">
        <v>0</v>
      </c>
      <c r="D44" s="70">
        <v>1351.83</v>
      </c>
      <c r="E44" s="72">
        <f>C42-D42-D43-D44</f>
        <v>837.96</v>
      </c>
      <c r="F44" s="72">
        <f t="shared" si="7"/>
        <v>0</v>
      </c>
      <c r="G44" s="311">
        <v>44483</v>
      </c>
      <c r="H44" s="74">
        <f t="shared" si="5"/>
        <v>44445</v>
      </c>
      <c r="I44" s="232">
        <f t="shared" si="8"/>
        <v>38</v>
      </c>
      <c r="J44" s="391">
        <f t="shared" si="4"/>
        <v>0</v>
      </c>
      <c r="K44" s="72">
        <f t="shared" si="6"/>
        <v>0</v>
      </c>
      <c r="L44" s="71" t="s">
        <v>150</v>
      </c>
      <c r="M44" s="71" t="s">
        <v>154</v>
      </c>
    </row>
    <row r="45" spans="1:14" ht="16.5" customHeight="1" x14ac:dyDescent="0.25">
      <c r="A45" s="176">
        <v>0.8</v>
      </c>
      <c r="B45" s="73" t="s">
        <v>31</v>
      </c>
      <c r="C45" s="72">
        <v>3586.72</v>
      </c>
      <c r="D45" s="70">
        <v>1000</v>
      </c>
      <c r="E45" s="72">
        <v>0</v>
      </c>
      <c r="F45" s="72">
        <f t="shared" si="7"/>
        <v>286.93759999999997</v>
      </c>
      <c r="G45" s="311">
        <v>44462</v>
      </c>
      <c r="H45" s="74">
        <f t="shared" si="5"/>
        <v>44445</v>
      </c>
      <c r="I45" s="232">
        <f t="shared" si="8"/>
        <v>17</v>
      </c>
      <c r="J45" s="391">
        <f t="shared" si="4"/>
        <v>0</v>
      </c>
      <c r="K45" s="72">
        <f t="shared" si="6"/>
        <v>0</v>
      </c>
      <c r="L45" s="71" t="s">
        <v>150</v>
      </c>
      <c r="M45" s="71" t="s">
        <v>154</v>
      </c>
    </row>
    <row r="46" spans="1:14" ht="16.5" customHeight="1" x14ac:dyDescent="0.25">
      <c r="A46" s="176">
        <v>0.8</v>
      </c>
      <c r="B46" s="73" t="s">
        <v>31</v>
      </c>
      <c r="C46" s="72">
        <v>0</v>
      </c>
      <c r="D46" s="70">
        <v>1000</v>
      </c>
      <c r="E46" s="72">
        <v>0</v>
      </c>
      <c r="F46" s="72">
        <f t="shared" si="7"/>
        <v>0</v>
      </c>
      <c r="G46" s="311">
        <v>44482</v>
      </c>
      <c r="H46" s="74">
        <f t="shared" si="5"/>
        <v>44445</v>
      </c>
      <c r="I46" s="232">
        <f t="shared" si="8"/>
        <v>37</v>
      </c>
      <c r="J46" s="391">
        <f t="shared" si="4"/>
        <v>0</v>
      </c>
      <c r="K46" s="72">
        <f t="shared" si="6"/>
        <v>0</v>
      </c>
      <c r="L46" s="71" t="s">
        <v>150</v>
      </c>
      <c r="M46" s="71" t="s">
        <v>154</v>
      </c>
    </row>
    <row r="47" spans="1:14" ht="16.5" customHeight="1" x14ac:dyDescent="0.25">
      <c r="A47" s="176">
        <v>0.8</v>
      </c>
      <c r="B47" s="73" t="s">
        <v>31</v>
      </c>
      <c r="C47" s="72">
        <v>0</v>
      </c>
      <c r="D47" s="70">
        <f>ROUND(C45*A45,2)-D45-D46</f>
        <v>869.38000000000011</v>
      </c>
      <c r="E47" s="72">
        <f>C45-D45-D46-D47</f>
        <v>717.33999999999969</v>
      </c>
      <c r="F47" s="72">
        <f t="shared" si="7"/>
        <v>0</v>
      </c>
      <c r="G47" s="311">
        <v>44483</v>
      </c>
      <c r="H47" s="74">
        <f t="shared" si="5"/>
        <v>44445</v>
      </c>
      <c r="I47" s="232">
        <f t="shared" si="8"/>
        <v>38</v>
      </c>
      <c r="J47" s="391">
        <f t="shared" si="4"/>
        <v>0</v>
      </c>
      <c r="K47" s="72">
        <f t="shared" si="6"/>
        <v>0</v>
      </c>
      <c r="L47" s="71" t="s">
        <v>150</v>
      </c>
      <c r="M47" s="71" t="s">
        <v>154</v>
      </c>
    </row>
    <row r="48" spans="1:14" ht="16.5" customHeight="1" x14ac:dyDescent="0.25">
      <c r="A48" s="176">
        <v>0.8</v>
      </c>
      <c r="B48" s="73" t="s">
        <v>32</v>
      </c>
      <c r="C48" s="72">
        <v>2203.9499999999998</v>
      </c>
      <c r="D48" s="70">
        <v>1000</v>
      </c>
      <c r="E48" s="72">
        <v>0</v>
      </c>
      <c r="F48" s="72">
        <f t="shared" si="7"/>
        <v>176.316</v>
      </c>
      <c r="G48" s="311">
        <v>44449</v>
      </c>
      <c r="H48" s="74">
        <f t="shared" si="5"/>
        <v>44445</v>
      </c>
      <c r="I48" s="232">
        <f t="shared" si="8"/>
        <v>4</v>
      </c>
      <c r="J48" s="391">
        <f t="shared" si="4"/>
        <v>0</v>
      </c>
      <c r="K48" s="72">
        <f t="shared" si="6"/>
        <v>0</v>
      </c>
      <c r="L48" s="71" t="s">
        <v>158</v>
      </c>
      <c r="M48" s="71" t="s">
        <v>152</v>
      </c>
    </row>
    <row r="49" spans="1:13" ht="16.5" customHeight="1" x14ac:dyDescent="0.25">
      <c r="A49" s="176">
        <v>0.8</v>
      </c>
      <c r="B49" s="73" t="s">
        <v>32</v>
      </c>
      <c r="C49" s="72">
        <v>0</v>
      </c>
      <c r="D49" s="70">
        <f>ROUND(C48*A48,2)-D48</f>
        <v>763.16000000000008</v>
      </c>
      <c r="E49" s="72">
        <f>C48-D48-D49</f>
        <v>440.78999999999974</v>
      </c>
      <c r="F49" s="72">
        <f t="shared" si="7"/>
        <v>0</v>
      </c>
      <c r="G49" s="311">
        <v>44477</v>
      </c>
      <c r="H49" s="74">
        <f t="shared" si="5"/>
        <v>44445</v>
      </c>
      <c r="I49" s="232">
        <f t="shared" si="8"/>
        <v>32</v>
      </c>
      <c r="J49" s="391">
        <f t="shared" si="4"/>
        <v>0</v>
      </c>
      <c r="K49" s="72">
        <f t="shared" si="6"/>
        <v>0</v>
      </c>
      <c r="L49" s="227"/>
      <c r="M49" s="226"/>
    </row>
    <row r="50" spans="1:13" ht="16.5" customHeight="1" x14ac:dyDescent="0.25">
      <c r="A50" s="190"/>
      <c r="B50" s="314" t="s">
        <v>160</v>
      </c>
      <c r="C50" s="314">
        <f>SUM(C23:C49)</f>
        <v>48529.16</v>
      </c>
      <c r="D50" s="314">
        <f>SUM(D23:D49)</f>
        <v>31101.610000000008</v>
      </c>
      <c r="E50" s="317">
        <f>SUM(E23:E49)</f>
        <v>17427.550000000003</v>
      </c>
      <c r="F50" s="314">
        <f>SUM(F23:F49)</f>
        <v>3882.3327999999992</v>
      </c>
      <c r="G50" s="315"/>
      <c r="H50" s="323"/>
      <c r="I50" s="315"/>
      <c r="J50" s="392"/>
      <c r="K50" s="181">
        <f>SUM(K23:K49)</f>
        <v>0</v>
      </c>
      <c r="L50" s="71" t="s">
        <v>150</v>
      </c>
      <c r="M50" s="71" t="s">
        <v>152</v>
      </c>
    </row>
    <row r="51" spans="1:13" ht="16.5" customHeight="1" x14ac:dyDescent="0.25">
      <c r="A51" s="313"/>
      <c r="B51" s="73" t="s">
        <v>33</v>
      </c>
      <c r="C51" s="72">
        <v>2338.85</v>
      </c>
      <c r="D51" s="70">
        <v>1000</v>
      </c>
      <c r="E51" s="72">
        <v>0</v>
      </c>
      <c r="F51" s="70">
        <f>C51*8%</f>
        <v>187.108</v>
      </c>
      <c r="G51" s="311">
        <v>44455</v>
      </c>
      <c r="H51" s="74">
        <f>H49</f>
        <v>44445</v>
      </c>
      <c r="I51" s="324">
        <f>G51-H51</f>
        <v>10</v>
      </c>
      <c r="J51" s="391">
        <f>J49</f>
        <v>0</v>
      </c>
      <c r="K51" s="72">
        <f t="shared" ref="K51:K80" si="10">SUM(E51)*J51</f>
        <v>0</v>
      </c>
      <c r="L51" s="71"/>
      <c r="M51" s="71"/>
    </row>
    <row r="52" spans="1:13" ht="16.5" customHeight="1" x14ac:dyDescent="0.25">
      <c r="A52" s="313"/>
      <c r="B52" s="73" t="s">
        <v>33</v>
      </c>
      <c r="C52" s="72">
        <v>0</v>
      </c>
      <c r="D52" s="70">
        <v>1338.85</v>
      </c>
      <c r="E52" s="72">
        <f>C51-D51-D52</f>
        <v>0</v>
      </c>
      <c r="F52" s="70">
        <f t="shared" ref="F52:F112" si="11">C52*8%</f>
        <v>0</v>
      </c>
      <c r="G52" s="311">
        <v>44482</v>
      </c>
      <c r="H52" s="74">
        <f>H51</f>
        <v>44445</v>
      </c>
      <c r="I52" s="324">
        <f t="shared" ref="I52:I112" si="12">G52-H52</f>
        <v>37</v>
      </c>
      <c r="J52" s="391">
        <f t="shared" si="4"/>
        <v>0</v>
      </c>
      <c r="K52" s="72">
        <f t="shared" si="10"/>
        <v>0</v>
      </c>
      <c r="L52" s="71"/>
      <c r="M52" s="71"/>
    </row>
    <row r="53" spans="1:13" ht="16.5" customHeight="1" x14ac:dyDescent="0.25">
      <c r="A53" s="313"/>
      <c r="B53" s="73" t="s">
        <v>34</v>
      </c>
      <c r="C53" s="72">
        <v>1443.48</v>
      </c>
      <c r="D53" s="70">
        <v>1443.48</v>
      </c>
      <c r="E53" s="72">
        <f t="shared" si="1"/>
        <v>0</v>
      </c>
      <c r="F53" s="70">
        <f t="shared" si="11"/>
        <v>115.47840000000001</v>
      </c>
      <c r="G53" s="311">
        <v>44449</v>
      </c>
      <c r="H53" s="74">
        <f t="shared" ref="H53:H112" si="13">H51</f>
        <v>44445</v>
      </c>
      <c r="I53" s="324">
        <f t="shared" si="12"/>
        <v>4</v>
      </c>
      <c r="J53" s="391">
        <f t="shared" si="4"/>
        <v>0</v>
      </c>
      <c r="K53" s="72">
        <f t="shared" si="10"/>
        <v>0</v>
      </c>
      <c r="L53" s="71"/>
      <c r="M53" s="71"/>
    </row>
    <row r="54" spans="1:13" ht="16.5" customHeight="1" x14ac:dyDescent="0.25">
      <c r="A54" s="313"/>
      <c r="B54" s="73" t="s">
        <v>16</v>
      </c>
      <c r="C54" s="72">
        <v>4.33</v>
      </c>
      <c r="D54" s="70">
        <v>4.33</v>
      </c>
      <c r="E54" s="72">
        <f t="shared" si="1"/>
        <v>0</v>
      </c>
      <c r="F54" s="70">
        <f t="shared" si="11"/>
        <v>0.34639999999999999</v>
      </c>
      <c r="G54" s="76">
        <v>44453</v>
      </c>
      <c r="H54" s="74">
        <f t="shared" si="13"/>
        <v>44445</v>
      </c>
      <c r="I54" s="324">
        <f t="shared" si="12"/>
        <v>8</v>
      </c>
      <c r="J54" s="391">
        <f t="shared" si="4"/>
        <v>0</v>
      </c>
      <c r="K54" s="72">
        <f t="shared" si="10"/>
        <v>0</v>
      </c>
      <c r="L54" s="71"/>
      <c r="M54" s="71"/>
    </row>
    <row r="55" spans="1:13" ht="16.5" customHeight="1" x14ac:dyDescent="0.25">
      <c r="A55" s="313"/>
      <c r="B55" s="73" t="s">
        <v>35</v>
      </c>
      <c r="C55" s="72">
        <v>102.54</v>
      </c>
      <c r="D55" s="70">
        <v>102.54</v>
      </c>
      <c r="E55" s="72">
        <f t="shared" si="1"/>
        <v>0</v>
      </c>
      <c r="F55" s="70">
        <f t="shared" si="11"/>
        <v>8.2032000000000007</v>
      </c>
      <c r="G55" s="311">
        <v>44453</v>
      </c>
      <c r="H55" s="74">
        <f t="shared" si="13"/>
        <v>44445</v>
      </c>
      <c r="I55" s="324">
        <f t="shared" si="12"/>
        <v>8</v>
      </c>
      <c r="J55" s="391">
        <f t="shared" si="4"/>
        <v>0</v>
      </c>
      <c r="K55" s="72">
        <f t="shared" si="10"/>
        <v>0</v>
      </c>
      <c r="L55" s="71"/>
      <c r="M55" s="71"/>
    </row>
    <row r="56" spans="1:13" ht="16.5" customHeight="1" x14ac:dyDescent="0.25">
      <c r="A56" s="313"/>
      <c r="B56" s="73" t="s">
        <v>219</v>
      </c>
      <c r="C56" s="72">
        <v>796.42</v>
      </c>
      <c r="D56" s="70">
        <v>796.42</v>
      </c>
      <c r="E56" s="72">
        <f t="shared" si="1"/>
        <v>0</v>
      </c>
      <c r="F56" s="70">
        <f t="shared" si="11"/>
        <v>63.7136</v>
      </c>
      <c r="G56" s="311">
        <v>44449</v>
      </c>
      <c r="H56" s="74">
        <f t="shared" si="13"/>
        <v>44445</v>
      </c>
      <c r="I56" s="324">
        <f t="shared" si="12"/>
        <v>4</v>
      </c>
      <c r="J56" s="391">
        <f t="shared" si="4"/>
        <v>0</v>
      </c>
      <c r="K56" s="72">
        <f t="shared" si="10"/>
        <v>0</v>
      </c>
      <c r="L56" s="71"/>
      <c r="M56" s="71"/>
    </row>
    <row r="57" spans="1:13" ht="16.5" customHeight="1" x14ac:dyDescent="0.25">
      <c r="A57" s="313"/>
      <c r="B57" s="73" t="s">
        <v>37</v>
      </c>
      <c r="C57" s="72">
        <v>1700.68</v>
      </c>
      <c r="D57" s="70">
        <v>1000</v>
      </c>
      <c r="E57" s="72">
        <v>0</v>
      </c>
      <c r="F57" s="70">
        <f t="shared" si="11"/>
        <v>136.05440000000002</v>
      </c>
      <c r="G57" s="311">
        <v>44449</v>
      </c>
      <c r="H57" s="74">
        <f t="shared" si="13"/>
        <v>44445</v>
      </c>
      <c r="I57" s="324">
        <f t="shared" si="12"/>
        <v>4</v>
      </c>
      <c r="J57" s="391">
        <f t="shared" si="4"/>
        <v>0</v>
      </c>
      <c r="K57" s="72">
        <f t="shared" si="10"/>
        <v>0</v>
      </c>
      <c r="L57" s="71"/>
      <c r="M57" s="71"/>
    </row>
    <row r="58" spans="1:13" ht="16.5" customHeight="1" x14ac:dyDescent="0.25">
      <c r="A58" s="313"/>
      <c r="B58" s="73" t="s">
        <v>37</v>
      </c>
      <c r="C58" s="72">
        <v>0</v>
      </c>
      <c r="D58" s="70">
        <v>700.68</v>
      </c>
      <c r="E58" s="72">
        <v>0</v>
      </c>
      <c r="F58" s="70">
        <f t="shared" si="11"/>
        <v>0</v>
      </c>
      <c r="G58" s="311">
        <v>44477</v>
      </c>
      <c r="H58" s="74">
        <f t="shared" si="13"/>
        <v>44445</v>
      </c>
      <c r="I58" s="324">
        <f t="shared" si="12"/>
        <v>32</v>
      </c>
      <c r="J58" s="391">
        <f t="shared" si="4"/>
        <v>0</v>
      </c>
      <c r="K58" s="72">
        <f t="shared" si="10"/>
        <v>0</v>
      </c>
      <c r="L58" s="71"/>
      <c r="M58" s="71"/>
    </row>
    <row r="59" spans="1:13" ht="16.5" customHeight="1" x14ac:dyDescent="0.25">
      <c r="A59" s="313"/>
      <c r="B59" s="73" t="s">
        <v>105</v>
      </c>
      <c r="C59" s="72">
        <v>238.63</v>
      </c>
      <c r="D59" s="70">
        <v>238.63</v>
      </c>
      <c r="E59" s="72">
        <f t="shared" si="1"/>
        <v>0</v>
      </c>
      <c r="F59" s="70">
        <f t="shared" si="11"/>
        <v>19.090399999999999</v>
      </c>
      <c r="G59" s="311">
        <v>44449</v>
      </c>
      <c r="H59" s="74">
        <f t="shared" si="13"/>
        <v>44445</v>
      </c>
      <c r="I59" s="324">
        <f t="shared" si="12"/>
        <v>4</v>
      </c>
      <c r="J59" s="391">
        <f t="shared" si="4"/>
        <v>0</v>
      </c>
      <c r="K59" s="72">
        <f t="shared" si="10"/>
        <v>0</v>
      </c>
      <c r="L59" s="71"/>
      <c r="M59" s="71"/>
    </row>
    <row r="60" spans="1:13" ht="16.5" customHeight="1" x14ac:dyDescent="0.25">
      <c r="A60" s="313"/>
      <c r="B60" s="73" t="s">
        <v>38</v>
      </c>
      <c r="C60" s="72">
        <v>3604.2</v>
      </c>
      <c r="D60" s="70">
        <v>1000</v>
      </c>
      <c r="E60" s="72">
        <v>0</v>
      </c>
      <c r="F60" s="70">
        <f t="shared" si="11"/>
        <v>288.33600000000001</v>
      </c>
      <c r="G60" s="311">
        <v>44470</v>
      </c>
      <c r="H60" s="74">
        <f t="shared" si="13"/>
        <v>44445</v>
      </c>
      <c r="I60" s="324">
        <f t="shared" si="12"/>
        <v>25</v>
      </c>
      <c r="J60" s="391">
        <f t="shared" si="4"/>
        <v>0</v>
      </c>
      <c r="K60" s="72">
        <f t="shared" si="10"/>
        <v>0</v>
      </c>
      <c r="L60" s="71"/>
      <c r="M60" s="71"/>
    </row>
    <row r="61" spans="1:13" ht="16.5" customHeight="1" x14ac:dyDescent="0.25">
      <c r="A61" s="313"/>
      <c r="B61" s="73" t="s">
        <v>38</v>
      </c>
      <c r="C61" s="72">
        <v>0</v>
      </c>
      <c r="D61" s="70">
        <v>1000</v>
      </c>
      <c r="E61" s="72">
        <v>0</v>
      </c>
      <c r="F61" s="70">
        <f t="shared" si="11"/>
        <v>0</v>
      </c>
      <c r="G61" s="311">
        <v>44482</v>
      </c>
      <c r="H61" s="74">
        <f t="shared" si="13"/>
        <v>44445</v>
      </c>
      <c r="I61" s="324">
        <f t="shared" si="12"/>
        <v>37</v>
      </c>
      <c r="J61" s="391">
        <f t="shared" si="4"/>
        <v>0</v>
      </c>
      <c r="K61" s="72">
        <f t="shared" si="10"/>
        <v>0</v>
      </c>
      <c r="L61" s="71"/>
      <c r="M61" s="71"/>
    </row>
    <row r="62" spans="1:13" ht="16.5" customHeight="1" x14ac:dyDescent="0.25">
      <c r="A62" s="313"/>
      <c r="B62" s="73" t="s">
        <v>38</v>
      </c>
      <c r="C62" s="72">
        <v>0</v>
      </c>
      <c r="D62" s="70">
        <v>1604.2</v>
      </c>
      <c r="E62" s="72">
        <v>0</v>
      </c>
      <c r="F62" s="70">
        <f t="shared" si="11"/>
        <v>0</v>
      </c>
      <c r="G62" s="311">
        <v>44484</v>
      </c>
      <c r="H62" s="74">
        <f t="shared" si="13"/>
        <v>44445</v>
      </c>
      <c r="I62" s="324">
        <f t="shared" si="12"/>
        <v>39</v>
      </c>
      <c r="J62" s="391">
        <f t="shared" si="4"/>
        <v>0</v>
      </c>
      <c r="K62" s="72">
        <f t="shared" si="10"/>
        <v>0</v>
      </c>
      <c r="L62" s="71"/>
      <c r="M62" s="71"/>
    </row>
    <row r="63" spans="1:13" ht="16.5" customHeight="1" x14ac:dyDescent="0.25">
      <c r="A63" s="313"/>
      <c r="B63" s="73" t="s">
        <v>39</v>
      </c>
      <c r="C63" s="72">
        <v>12.3</v>
      </c>
      <c r="D63" s="70">
        <v>12.3</v>
      </c>
      <c r="E63" s="72">
        <f t="shared" si="1"/>
        <v>0</v>
      </c>
      <c r="F63" s="70">
        <f t="shared" si="11"/>
        <v>0.9840000000000001</v>
      </c>
      <c r="G63" s="311">
        <v>44453</v>
      </c>
      <c r="H63" s="74">
        <f t="shared" si="13"/>
        <v>44445</v>
      </c>
      <c r="I63" s="324">
        <f t="shared" si="12"/>
        <v>8</v>
      </c>
      <c r="J63" s="391">
        <f t="shared" si="4"/>
        <v>0</v>
      </c>
      <c r="K63" s="72">
        <f t="shared" si="10"/>
        <v>0</v>
      </c>
      <c r="L63" s="71"/>
      <c r="M63" s="71"/>
    </row>
    <row r="64" spans="1:13" ht="16.5" customHeight="1" x14ac:dyDescent="0.25">
      <c r="A64" s="313"/>
      <c r="B64" s="73" t="s">
        <v>40</v>
      </c>
      <c r="C64" s="72">
        <v>17.32</v>
      </c>
      <c r="D64" s="70">
        <v>17.323</v>
      </c>
      <c r="E64" s="72">
        <v>0</v>
      </c>
      <c r="F64" s="70">
        <f t="shared" si="11"/>
        <v>1.3855999999999999</v>
      </c>
      <c r="G64" s="311">
        <v>44453</v>
      </c>
      <c r="H64" s="74">
        <f t="shared" si="13"/>
        <v>44445</v>
      </c>
      <c r="I64" s="324">
        <f t="shared" si="12"/>
        <v>8</v>
      </c>
      <c r="J64" s="391">
        <f t="shared" si="4"/>
        <v>0</v>
      </c>
      <c r="K64" s="72">
        <f t="shared" si="10"/>
        <v>0</v>
      </c>
      <c r="L64" s="71"/>
      <c r="M64" s="71"/>
    </row>
    <row r="65" spans="1:13" ht="16.5" customHeight="1" x14ac:dyDescent="0.25">
      <c r="A65" s="313"/>
      <c r="B65" s="73" t="s">
        <v>41</v>
      </c>
      <c r="C65" s="72">
        <v>6.78</v>
      </c>
      <c r="D65" s="70">
        <v>6.78</v>
      </c>
      <c r="E65" s="72">
        <f t="shared" si="1"/>
        <v>0</v>
      </c>
      <c r="F65" s="70">
        <f t="shared" si="11"/>
        <v>0.54239999999999999</v>
      </c>
      <c r="G65" s="311">
        <v>44453</v>
      </c>
      <c r="H65" s="74">
        <f t="shared" si="13"/>
        <v>44445</v>
      </c>
      <c r="I65" s="324">
        <f t="shared" si="12"/>
        <v>8</v>
      </c>
      <c r="J65" s="391">
        <f t="shared" si="4"/>
        <v>0</v>
      </c>
      <c r="K65" s="72">
        <f t="shared" si="10"/>
        <v>0</v>
      </c>
      <c r="L65" s="71"/>
      <c r="M65" s="71"/>
    </row>
    <row r="66" spans="1:13" ht="16.5" customHeight="1" x14ac:dyDescent="0.25">
      <c r="A66" s="313"/>
      <c r="B66" s="73" t="s">
        <v>42</v>
      </c>
      <c r="C66" s="72">
        <v>1700.62</v>
      </c>
      <c r="D66" s="70">
        <v>1000</v>
      </c>
      <c r="E66" s="72">
        <v>0</v>
      </c>
      <c r="F66" s="70">
        <f t="shared" si="11"/>
        <v>136.0496</v>
      </c>
      <c r="G66" s="311">
        <v>44449</v>
      </c>
      <c r="H66" s="74">
        <f t="shared" si="13"/>
        <v>44445</v>
      </c>
      <c r="I66" s="324">
        <f t="shared" si="12"/>
        <v>4</v>
      </c>
      <c r="J66" s="391">
        <f t="shared" si="4"/>
        <v>0</v>
      </c>
      <c r="K66" s="72">
        <f t="shared" si="10"/>
        <v>0</v>
      </c>
      <c r="L66" s="71"/>
      <c r="M66" s="71"/>
    </row>
    <row r="67" spans="1:13" ht="16.5" customHeight="1" x14ac:dyDescent="0.25">
      <c r="A67" s="313"/>
      <c r="B67" s="73" t="s">
        <v>42</v>
      </c>
      <c r="C67" s="72">
        <v>0</v>
      </c>
      <c r="D67" s="70">
        <v>700.62300000000005</v>
      </c>
      <c r="E67" s="72">
        <v>0</v>
      </c>
      <c r="F67" s="70">
        <f t="shared" si="11"/>
        <v>0</v>
      </c>
      <c r="G67" s="311">
        <v>44477</v>
      </c>
      <c r="H67" s="74">
        <f t="shared" si="13"/>
        <v>44445</v>
      </c>
      <c r="I67" s="324">
        <f t="shared" si="12"/>
        <v>32</v>
      </c>
      <c r="J67" s="391">
        <f t="shared" si="4"/>
        <v>0</v>
      </c>
      <c r="K67" s="72">
        <f t="shared" si="10"/>
        <v>0</v>
      </c>
      <c r="L67" s="71"/>
      <c r="M67" s="71"/>
    </row>
    <row r="68" spans="1:13" ht="16.5" customHeight="1" x14ac:dyDescent="0.25">
      <c r="A68" s="313"/>
      <c r="B68" s="73" t="s">
        <v>43</v>
      </c>
      <c r="C68" s="72">
        <v>51.27</v>
      </c>
      <c r="D68" s="70">
        <v>51.27</v>
      </c>
      <c r="E68" s="72">
        <f t="shared" si="1"/>
        <v>0</v>
      </c>
      <c r="F68" s="70">
        <f t="shared" si="11"/>
        <v>4.1016000000000004</v>
      </c>
      <c r="G68" s="311">
        <v>44445</v>
      </c>
      <c r="H68" s="74">
        <f t="shared" si="13"/>
        <v>44445</v>
      </c>
      <c r="I68" s="324">
        <f t="shared" si="12"/>
        <v>0</v>
      </c>
      <c r="J68" s="391">
        <f t="shared" si="4"/>
        <v>0</v>
      </c>
      <c r="K68" s="72">
        <f t="shared" si="10"/>
        <v>0</v>
      </c>
      <c r="L68" s="71"/>
      <c r="M68" s="71"/>
    </row>
    <row r="69" spans="1:13" ht="16.5" customHeight="1" x14ac:dyDescent="0.25">
      <c r="A69" s="313"/>
      <c r="B69" s="73" t="s">
        <v>44</v>
      </c>
      <c r="C69" s="72">
        <v>265.52999999999997</v>
      </c>
      <c r="D69" s="70">
        <v>265.52999999999997</v>
      </c>
      <c r="E69" s="72">
        <f t="shared" si="1"/>
        <v>0</v>
      </c>
      <c r="F69" s="70">
        <f t="shared" si="11"/>
        <v>21.2424</v>
      </c>
      <c r="G69" s="311">
        <v>44453</v>
      </c>
      <c r="H69" s="74">
        <f t="shared" si="13"/>
        <v>44445</v>
      </c>
      <c r="I69" s="324">
        <f t="shared" si="12"/>
        <v>8</v>
      </c>
      <c r="J69" s="391">
        <f t="shared" si="4"/>
        <v>0</v>
      </c>
      <c r="K69" s="72">
        <f t="shared" si="10"/>
        <v>0</v>
      </c>
      <c r="L69" s="71"/>
      <c r="M69" s="71"/>
    </row>
    <row r="70" spans="1:13" ht="16.5" customHeight="1" x14ac:dyDescent="0.25">
      <c r="A70" s="313"/>
      <c r="B70" s="73" t="s">
        <v>46</v>
      </c>
      <c r="C70" s="72">
        <v>12.3</v>
      </c>
      <c r="D70" s="70">
        <v>12.3</v>
      </c>
      <c r="E70" s="72">
        <f t="shared" ref="E70:E127" si="14">C70-D70</f>
        <v>0</v>
      </c>
      <c r="F70" s="70">
        <f t="shared" si="11"/>
        <v>0.9840000000000001</v>
      </c>
      <c r="G70" s="311">
        <v>44453</v>
      </c>
      <c r="H70" s="74" t="e">
        <f>#REF!</f>
        <v>#REF!</v>
      </c>
      <c r="I70" s="324" t="e">
        <f t="shared" si="12"/>
        <v>#REF!</v>
      </c>
      <c r="J70" s="391">
        <f>J69</f>
        <v>0</v>
      </c>
      <c r="K70" s="72">
        <f t="shared" si="10"/>
        <v>0</v>
      </c>
      <c r="L70" s="71"/>
      <c r="M70" s="71"/>
    </row>
    <row r="71" spans="1:13" ht="16.5" customHeight="1" x14ac:dyDescent="0.25">
      <c r="A71" s="313"/>
      <c r="B71" s="73" t="s">
        <v>47</v>
      </c>
      <c r="C71" s="72">
        <v>204.14</v>
      </c>
      <c r="D71" s="70">
        <v>204.14</v>
      </c>
      <c r="E71" s="72">
        <f t="shared" si="14"/>
        <v>0</v>
      </c>
      <c r="F71" s="70">
        <f t="shared" si="11"/>
        <v>16.331199999999999</v>
      </c>
      <c r="G71" s="76">
        <v>44453</v>
      </c>
      <c r="H71" s="74" t="e">
        <f>#REF!</f>
        <v>#REF!</v>
      </c>
      <c r="I71" s="324" t="e">
        <f t="shared" si="12"/>
        <v>#REF!</v>
      </c>
      <c r="J71" s="391">
        <f t="shared" ref="J71:J127" si="15">J70</f>
        <v>0</v>
      </c>
      <c r="K71" s="72">
        <f t="shared" si="10"/>
        <v>0</v>
      </c>
      <c r="L71" s="71"/>
      <c r="M71" s="71"/>
    </row>
    <row r="72" spans="1:13" ht="16.5" customHeight="1" x14ac:dyDescent="0.25">
      <c r="A72" s="313"/>
      <c r="B72" s="73" t="s">
        <v>49</v>
      </c>
      <c r="C72" s="72">
        <v>1312.09</v>
      </c>
      <c r="D72" s="70">
        <v>1312.09</v>
      </c>
      <c r="E72" s="72">
        <f t="shared" si="14"/>
        <v>0</v>
      </c>
      <c r="F72" s="70">
        <f t="shared" si="11"/>
        <v>104.96719999999999</v>
      </c>
      <c r="G72" s="76">
        <v>44449</v>
      </c>
      <c r="H72" s="74" t="e">
        <f t="shared" si="13"/>
        <v>#REF!</v>
      </c>
      <c r="I72" s="324" t="e">
        <f t="shared" si="12"/>
        <v>#REF!</v>
      </c>
      <c r="J72" s="391">
        <f t="shared" si="15"/>
        <v>0</v>
      </c>
      <c r="K72" s="72">
        <f t="shared" si="10"/>
        <v>0</v>
      </c>
      <c r="L72" s="71"/>
      <c r="M72" s="71"/>
    </row>
    <row r="73" spans="1:13" ht="16.5" customHeight="1" x14ac:dyDescent="0.25">
      <c r="A73" s="313"/>
      <c r="B73" s="73" t="s">
        <v>50</v>
      </c>
      <c r="C73" s="72">
        <v>1200.1199999999999</v>
      </c>
      <c r="D73" s="70">
        <v>1200.1199999999999</v>
      </c>
      <c r="E73" s="72">
        <f t="shared" si="14"/>
        <v>0</v>
      </c>
      <c r="F73" s="70">
        <f t="shared" si="11"/>
        <v>96.009599999999992</v>
      </c>
      <c r="G73" s="311">
        <v>44449</v>
      </c>
      <c r="H73" s="74" t="e">
        <f t="shared" si="13"/>
        <v>#REF!</v>
      </c>
      <c r="I73" s="324" t="e">
        <f t="shared" si="12"/>
        <v>#REF!</v>
      </c>
      <c r="J73" s="391">
        <f t="shared" si="15"/>
        <v>0</v>
      </c>
      <c r="K73" s="72">
        <f t="shared" si="10"/>
        <v>0</v>
      </c>
      <c r="L73" s="71"/>
      <c r="M73" s="71"/>
    </row>
    <row r="74" spans="1:13" ht="16.5" customHeight="1" x14ac:dyDescent="0.25">
      <c r="A74" s="313"/>
      <c r="B74" s="73" t="s">
        <v>51</v>
      </c>
      <c r="C74" s="72">
        <v>189.92</v>
      </c>
      <c r="D74" s="70">
        <v>189.92</v>
      </c>
      <c r="E74" s="72">
        <f t="shared" si="14"/>
        <v>0</v>
      </c>
      <c r="F74" s="70">
        <f t="shared" si="11"/>
        <v>15.1936</v>
      </c>
      <c r="G74" s="311">
        <v>44453</v>
      </c>
      <c r="H74" s="74" t="e">
        <f t="shared" si="13"/>
        <v>#REF!</v>
      </c>
      <c r="I74" s="324" t="e">
        <f t="shared" si="12"/>
        <v>#REF!</v>
      </c>
      <c r="J74" s="391">
        <f t="shared" si="15"/>
        <v>0</v>
      </c>
      <c r="K74" s="72">
        <f t="shared" si="10"/>
        <v>0</v>
      </c>
      <c r="L74" s="71"/>
      <c r="M74" s="71"/>
    </row>
    <row r="75" spans="1:13" ht="16.5" customHeight="1" x14ac:dyDescent="0.25">
      <c r="A75" s="313"/>
      <c r="B75" s="73" t="s">
        <v>52</v>
      </c>
      <c r="C75" s="72">
        <v>60.16</v>
      </c>
      <c r="D75" s="70">
        <v>60.16</v>
      </c>
      <c r="E75" s="72">
        <f t="shared" si="14"/>
        <v>0</v>
      </c>
      <c r="F75" s="70">
        <f t="shared" si="11"/>
        <v>4.8128000000000002</v>
      </c>
      <c r="G75" s="311">
        <v>44453</v>
      </c>
      <c r="H75" s="74" t="e">
        <f t="shared" si="13"/>
        <v>#REF!</v>
      </c>
      <c r="I75" s="324" t="e">
        <f t="shared" si="12"/>
        <v>#REF!</v>
      </c>
      <c r="J75" s="391">
        <f t="shared" si="15"/>
        <v>0</v>
      </c>
      <c r="K75" s="72">
        <f t="shared" si="10"/>
        <v>0</v>
      </c>
      <c r="L75" s="71"/>
      <c r="M75" s="71"/>
    </row>
    <row r="76" spans="1:13" ht="16.5" customHeight="1" x14ac:dyDescent="0.25">
      <c r="A76" s="313"/>
      <c r="B76" s="73" t="s">
        <v>53</v>
      </c>
      <c r="C76" s="72">
        <v>2404.02</v>
      </c>
      <c r="D76" s="70">
        <v>2404.02</v>
      </c>
      <c r="E76" s="72">
        <f t="shared" si="14"/>
        <v>0</v>
      </c>
      <c r="F76" s="70">
        <f t="shared" si="11"/>
        <v>192.32159999999999</v>
      </c>
      <c r="G76" s="311">
        <v>44477</v>
      </c>
      <c r="H76" s="74" t="e">
        <f t="shared" si="13"/>
        <v>#REF!</v>
      </c>
      <c r="I76" s="324" t="e">
        <f t="shared" si="12"/>
        <v>#REF!</v>
      </c>
      <c r="J76" s="391">
        <f t="shared" si="15"/>
        <v>0</v>
      </c>
      <c r="K76" s="72">
        <f t="shared" si="10"/>
        <v>0</v>
      </c>
      <c r="L76" s="71"/>
      <c r="M76" s="71"/>
    </row>
    <row r="77" spans="1:13" ht="16.5" customHeight="1" x14ac:dyDescent="0.25">
      <c r="A77" s="313"/>
      <c r="B77" s="73" t="s">
        <v>54</v>
      </c>
      <c r="C77" s="72">
        <v>17.010000000000002</v>
      </c>
      <c r="D77" s="70">
        <v>17.010000000000002</v>
      </c>
      <c r="E77" s="72">
        <f t="shared" si="14"/>
        <v>0</v>
      </c>
      <c r="F77" s="70">
        <f t="shared" si="11"/>
        <v>1.3608000000000002</v>
      </c>
      <c r="G77" s="311">
        <v>44453</v>
      </c>
      <c r="H77" s="74" t="e">
        <f t="shared" si="13"/>
        <v>#REF!</v>
      </c>
      <c r="I77" s="324" t="e">
        <f t="shared" si="12"/>
        <v>#REF!</v>
      </c>
      <c r="J77" s="391">
        <f t="shared" si="15"/>
        <v>0</v>
      </c>
      <c r="K77" s="72">
        <f t="shared" si="10"/>
        <v>0</v>
      </c>
      <c r="L77" s="71"/>
      <c r="M77" s="71"/>
    </row>
    <row r="78" spans="1:13" ht="16.5" customHeight="1" x14ac:dyDescent="0.25">
      <c r="A78" s="313"/>
      <c r="B78" s="73" t="s">
        <v>55</v>
      </c>
      <c r="C78" s="72">
        <v>7.69</v>
      </c>
      <c r="D78" s="70">
        <v>7.69</v>
      </c>
      <c r="E78" s="72">
        <f t="shared" si="14"/>
        <v>0</v>
      </c>
      <c r="F78" s="70">
        <f t="shared" si="11"/>
        <v>0.61520000000000008</v>
      </c>
      <c r="G78" s="311">
        <v>44453</v>
      </c>
      <c r="H78" s="74" t="e">
        <f t="shared" si="13"/>
        <v>#REF!</v>
      </c>
      <c r="I78" s="324" t="e">
        <f t="shared" si="12"/>
        <v>#REF!</v>
      </c>
      <c r="J78" s="391">
        <f t="shared" si="15"/>
        <v>0</v>
      </c>
      <c r="K78" s="72">
        <f t="shared" si="10"/>
        <v>0</v>
      </c>
      <c r="L78" s="71"/>
      <c r="M78" s="71"/>
    </row>
    <row r="79" spans="1:13" ht="16.5" customHeight="1" x14ac:dyDescent="0.25">
      <c r="A79" s="313"/>
      <c r="B79" s="73" t="s">
        <v>56</v>
      </c>
      <c r="C79" s="72">
        <v>130.16999999999999</v>
      </c>
      <c r="D79" s="70">
        <v>130.16999999999999</v>
      </c>
      <c r="E79" s="72">
        <f t="shared" si="14"/>
        <v>0</v>
      </c>
      <c r="F79" s="70">
        <f t="shared" si="11"/>
        <v>10.413599999999999</v>
      </c>
      <c r="G79" s="311">
        <v>44453</v>
      </c>
      <c r="H79" s="74" t="e">
        <f t="shared" si="13"/>
        <v>#REF!</v>
      </c>
      <c r="I79" s="324" t="e">
        <f t="shared" si="12"/>
        <v>#REF!</v>
      </c>
      <c r="J79" s="391">
        <f t="shared" si="15"/>
        <v>0</v>
      </c>
      <c r="K79" s="72">
        <f t="shared" si="10"/>
        <v>0</v>
      </c>
      <c r="L79" s="71"/>
      <c r="M79" s="71"/>
    </row>
    <row r="80" spans="1:13" ht="16.5" customHeight="1" x14ac:dyDescent="0.25">
      <c r="A80" s="313"/>
      <c r="B80" s="73" t="s">
        <v>57</v>
      </c>
      <c r="C80" s="72">
        <v>7.36</v>
      </c>
      <c r="D80" s="70">
        <v>7.36</v>
      </c>
      <c r="E80" s="72">
        <f t="shared" si="14"/>
        <v>0</v>
      </c>
      <c r="F80" s="70">
        <f t="shared" si="11"/>
        <v>0.58879999999999999</v>
      </c>
      <c r="G80" s="311">
        <v>44453</v>
      </c>
      <c r="H80" s="74" t="e">
        <f t="shared" si="13"/>
        <v>#REF!</v>
      </c>
      <c r="I80" s="324" t="e">
        <f t="shared" si="12"/>
        <v>#REF!</v>
      </c>
      <c r="J80" s="391">
        <f t="shared" si="15"/>
        <v>0</v>
      </c>
      <c r="K80" s="72">
        <f t="shared" si="10"/>
        <v>0</v>
      </c>
      <c r="L80" s="71"/>
      <c r="M80" s="71"/>
    </row>
    <row r="81" spans="1:13" ht="16.5" customHeight="1" x14ac:dyDescent="0.25">
      <c r="A81" s="313"/>
      <c r="B81" s="73" t="s">
        <v>220</v>
      </c>
      <c r="C81" s="72">
        <v>1116.0899999999999</v>
      </c>
      <c r="D81" s="70">
        <v>1116.0899999999999</v>
      </c>
      <c r="E81" s="72">
        <f t="shared" si="14"/>
        <v>0</v>
      </c>
      <c r="F81" s="70">
        <f t="shared" si="11"/>
        <v>89.287199999999999</v>
      </c>
      <c r="G81" s="311">
        <v>44449</v>
      </c>
      <c r="H81" s="74" t="e">
        <f t="shared" si="13"/>
        <v>#REF!</v>
      </c>
      <c r="I81" s="324" t="e">
        <f t="shared" si="12"/>
        <v>#REF!</v>
      </c>
      <c r="J81" s="391">
        <f t="shared" si="15"/>
        <v>0</v>
      </c>
      <c r="K81" s="72">
        <f t="shared" ref="K81:K111" si="16">SUM(E81)*J81</f>
        <v>0</v>
      </c>
      <c r="L81" s="71"/>
      <c r="M81" s="71"/>
    </row>
    <row r="82" spans="1:13" ht="16.5" customHeight="1" x14ac:dyDescent="0.25">
      <c r="A82" s="313"/>
      <c r="B82" s="73" t="s">
        <v>122</v>
      </c>
      <c r="C82" s="72">
        <v>61.02</v>
      </c>
      <c r="D82" s="70">
        <v>61.02</v>
      </c>
      <c r="E82" s="72">
        <f t="shared" si="14"/>
        <v>0</v>
      </c>
      <c r="F82" s="70">
        <f t="shared" si="11"/>
        <v>4.8816000000000006</v>
      </c>
      <c r="G82" s="311">
        <v>44453</v>
      </c>
      <c r="H82" s="74" t="e">
        <f t="shared" si="13"/>
        <v>#REF!</v>
      </c>
      <c r="I82" s="324" t="e">
        <f t="shared" si="12"/>
        <v>#REF!</v>
      </c>
      <c r="J82" s="391">
        <f t="shared" si="15"/>
        <v>0</v>
      </c>
      <c r="K82" s="72">
        <f t="shared" si="16"/>
        <v>0</v>
      </c>
      <c r="L82" s="71"/>
      <c r="M82" s="71"/>
    </row>
    <row r="83" spans="1:13" ht="16.5" customHeight="1" x14ac:dyDescent="0.25">
      <c r="A83" s="313"/>
      <c r="B83" s="73" t="s">
        <v>4</v>
      </c>
      <c r="C83" s="72">
        <v>395.82</v>
      </c>
      <c r="D83" s="70">
        <v>395.82</v>
      </c>
      <c r="E83" s="72">
        <f t="shared" si="14"/>
        <v>0</v>
      </c>
      <c r="F83" s="70">
        <f t="shared" si="11"/>
        <v>31.665600000000001</v>
      </c>
      <c r="G83" s="76">
        <v>44453</v>
      </c>
      <c r="H83" s="74" t="e">
        <f t="shared" si="13"/>
        <v>#REF!</v>
      </c>
      <c r="I83" s="324" t="e">
        <f t="shared" si="12"/>
        <v>#REF!</v>
      </c>
      <c r="J83" s="391">
        <f t="shared" si="15"/>
        <v>0</v>
      </c>
      <c r="K83" s="72">
        <f t="shared" si="16"/>
        <v>0</v>
      </c>
      <c r="L83" s="71"/>
      <c r="M83" s="71"/>
    </row>
    <row r="84" spans="1:13" ht="16.5" customHeight="1" x14ac:dyDescent="0.25">
      <c r="A84" s="313"/>
      <c r="B84" s="73" t="s">
        <v>221</v>
      </c>
      <c r="C84" s="72">
        <v>795.99</v>
      </c>
      <c r="D84" s="70">
        <v>795.99</v>
      </c>
      <c r="E84" s="72">
        <f t="shared" si="14"/>
        <v>0</v>
      </c>
      <c r="F84" s="70">
        <f t="shared" si="11"/>
        <v>63.679200000000002</v>
      </c>
      <c r="G84" s="311">
        <v>44473</v>
      </c>
      <c r="H84" s="74" t="e">
        <f t="shared" si="13"/>
        <v>#REF!</v>
      </c>
      <c r="I84" s="324" t="e">
        <f t="shared" si="12"/>
        <v>#REF!</v>
      </c>
      <c r="J84" s="391">
        <f t="shared" si="15"/>
        <v>0</v>
      </c>
      <c r="K84" s="72">
        <f t="shared" si="16"/>
        <v>0</v>
      </c>
      <c r="L84" s="71"/>
      <c r="M84" s="71"/>
    </row>
    <row r="85" spans="1:13" ht="16.5" customHeight="1" x14ac:dyDescent="0.25">
      <c r="A85" s="313"/>
      <c r="B85" s="73" t="s">
        <v>58</v>
      </c>
      <c r="C85" s="72">
        <v>9.8000000000000007</v>
      </c>
      <c r="D85" s="70">
        <v>9.8000000000000007</v>
      </c>
      <c r="E85" s="72">
        <f t="shared" si="14"/>
        <v>0</v>
      </c>
      <c r="F85" s="70">
        <f t="shared" si="11"/>
        <v>0.78400000000000003</v>
      </c>
      <c r="G85" s="311">
        <v>44453</v>
      </c>
      <c r="H85" s="74" t="e">
        <f t="shared" si="13"/>
        <v>#REF!</v>
      </c>
      <c r="I85" s="324" t="e">
        <f t="shared" si="12"/>
        <v>#REF!</v>
      </c>
      <c r="J85" s="391">
        <f t="shared" si="15"/>
        <v>0</v>
      </c>
      <c r="K85" s="72">
        <f t="shared" si="16"/>
        <v>0</v>
      </c>
      <c r="L85" s="71"/>
      <c r="M85" s="71"/>
    </row>
    <row r="86" spans="1:13" ht="16.5" customHeight="1" x14ac:dyDescent="0.25">
      <c r="A86" s="313"/>
      <c r="B86" s="73" t="s">
        <v>59</v>
      </c>
      <c r="C86" s="72">
        <v>69.25</v>
      </c>
      <c r="D86" s="70">
        <v>69.25</v>
      </c>
      <c r="E86" s="72">
        <f t="shared" si="14"/>
        <v>0</v>
      </c>
      <c r="F86" s="70">
        <f t="shared" si="11"/>
        <v>5.54</v>
      </c>
      <c r="G86" s="311">
        <v>44453</v>
      </c>
      <c r="H86" s="74" t="e">
        <f t="shared" si="13"/>
        <v>#REF!</v>
      </c>
      <c r="I86" s="324" t="e">
        <f t="shared" si="12"/>
        <v>#REF!</v>
      </c>
      <c r="J86" s="391">
        <f t="shared" si="15"/>
        <v>0</v>
      </c>
      <c r="K86" s="72">
        <f t="shared" si="16"/>
        <v>0</v>
      </c>
      <c r="L86" s="71"/>
      <c r="M86" s="71"/>
    </row>
    <row r="87" spans="1:13" ht="16.5" customHeight="1" x14ac:dyDescent="0.25">
      <c r="A87" s="313"/>
      <c r="B87" s="73" t="s">
        <v>61</v>
      </c>
      <c r="C87" s="72">
        <v>56.45</v>
      </c>
      <c r="D87" s="70">
        <v>56.45</v>
      </c>
      <c r="E87" s="72">
        <f t="shared" si="14"/>
        <v>0</v>
      </c>
      <c r="F87" s="70">
        <f t="shared" si="11"/>
        <v>4.516</v>
      </c>
      <c r="G87" s="311">
        <v>44453</v>
      </c>
      <c r="H87" s="74" t="e">
        <f t="shared" si="13"/>
        <v>#REF!</v>
      </c>
      <c r="I87" s="324" t="e">
        <f t="shared" si="12"/>
        <v>#REF!</v>
      </c>
      <c r="J87" s="391">
        <f t="shared" si="15"/>
        <v>0</v>
      </c>
      <c r="K87" s="72">
        <f t="shared" si="16"/>
        <v>0</v>
      </c>
      <c r="L87" s="71"/>
      <c r="M87" s="71"/>
    </row>
    <row r="88" spans="1:13" ht="16.5" customHeight="1" x14ac:dyDescent="0.25">
      <c r="A88" s="313"/>
      <c r="B88" s="73" t="s">
        <v>62</v>
      </c>
      <c r="C88" s="72">
        <v>5.0599999999999996</v>
      </c>
      <c r="D88" s="70">
        <v>5.0599999999999996</v>
      </c>
      <c r="E88" s="72">
        <f t="shared" si="14"/>
        <v>0</v>
      </c>
      <c r="F88" s="70">
        <f t="shared" si="11"/>
        <v>0.40479999999999999</v>
      </c>
      <c r="G88" s="311">
        <v>44453</v>
      </c>
      <c r="H88" s="74" t="e">
        <f t="shared" si="13"/>
        <v>#REF!</v>
      </c>
      <c r="I88" s="324" t="e">
        <f t="shared" si="12"/>
        <v>#REF!</v>
      </c>
      <c r="J88" s="391">
        <f t="shared" si="15"/>
        <v>0</v>
      </c>
      <c r="K88" s="72">
        <f t="shared" si="16"/>
        <v>0</v>
      </c>
      <c r="L88" s="71"/>
      <c r="M88" s="71"/>
    </row>
    <row r="89" spans="1:13" ht="16.5" customHeight="1" x14ac:dyDescent="0.25">
      <c r="A89" s="313"/>
      <c r="B89" s="73" t="s">
        <v>63</v>
      </c>
      <c r="C89" s="72">
        <v>38.46</v>
      </c>
      <c r="D89" s="70">
        <v>38.46</v>
      </c>
      <c r="E89" s="72">
        <f t="shared" si="14"/>
        <v>0</v>
      </c>
      <c r="F89" s="70">
        <f t="shared" si="11"/>
        <v>3.0768</v>
      </c>
      <c r="G89" s="311">
        <v>44453</v>
      </c>
      <c r="H89" s="74" t="e">
        <f t="shared" si="13"/>
        <v>#REF!</v>
      </c>
      <c r="I89" s="324" t="e">
        <f t="shared" si="12"/>
        <v>#REF!</v>
      </c>
      <c r="J89" s="391">
        <f t="shared" si="15"/>
        <v>0</v>
      </c>
      <c r="K89" s="72">
        <f t="shared" si="16"/>
        <v>0</v>
      </c>
      <c r="L89" s="71"/>
      <c r="M89" s="71"/>
    </row>
    <row r="90" spans="1:13" ht="16.5" customHeight="1" x14ac:dyDescent="0.25">
      <c r="A90" s="313"/>
      <c r="B90" s="73" t="s">
        <v>64</v>
      </c>
      <c r="C90" s="72">
        <v>19.14</v>
      </c>
      <c r="D90" s="70">
        <v>19.14</v>
      </c>
      <c r="E90" s="72">
        <f t="shared" si="14"/>
        <v>0</v>
      </c>
      <c r="F90" s="70">
        <f t="shared" si="11"/>
        <v>1.5312000000000001</v>
      </c>
      <c r="G90" s="311">
        <v>44453</v>
      </c>
      <c r="H90" s="74" t="e">
        <f t="shared" si="13"/>
        <v>#REF!</v>
      </c>
      <c r="I90" s="324" t="e">
        <f t="shared" si="12"/>
        <v>#REF!</v>
      </c>
      <c r="J90" s="391">
        <f t="shared" si="15"/>
        <v>0</v>
      </c>
      <c r="K90" s="72">
        <f t="shared" si="16"/>
        <v>0</v>
      </c>
      <c r="L90" s="71"/>
      <c r="M90" s="71"/>
    </row>
    <row r="91" spans="1:13" ht="16.5" customHeight="1" x14ac:dyDescent="0.25">
      <c r="A91" s="313"/>
      <c r="B91" s="73" t="s">
        <v>65</v>
      </c>
      <c r="C91" s="72">
        <v>560.01</v>
      </c>
      <c r="D91" s="70">
        <v>560.01</v>
      </c>
      <c r="E91" s="72">
        <f t="shared" si="14"/>
        <v>0</v>
      </c>
      <c r="F91" s="70">
        <f t="shared" si="11"/>
        <v>44.800800000000002</v>
      </c>
      <c r="G91" s="311">
        <v>44453</v>
      </c>
      <c r="H91" s="74" t="e">
        <f t="shared" si="13"/>
        <v>#REF!</v>
      </c>
      <c r="I91" s="324" t="e">
        <f t="shared" si="12"/>
        <v>#REF!</v>
      </c>
      <c r="J91" s="391">
        <f t="shared" si="15"/>
        <v>0</v>
      </c>
      <c r="K91" s="72">
        <f t="shared" si="16"/>
        <v>0</v>
      </c>
      <c r="L91" s="71"/>
      <c r="M91" s="71"/>
    </row>
    <row r="92" spans="1:13" ht="16.5" customHeight="1" x14ac:dyDescent="0.25">
      <c r="A92" s="313"/>
      <c r="B92" s="73" t="s">
        <v>66</v>
      </c>
      <c r="C92" s="72">
        <v>1338.54</v>
      </c>
      <c r="D92" s="70">
        <v>1338.54</v>
      </c>
      <c r="E92" s="72">
        <f t="shared" si="14"/>
        <v>0</v>
      </c>
      <c r="F92" s="70">
        <f t="shared" si="11"/>
        <v>107.08320000000001</v>
      </c>
      <c r="G92" s="311">
        <v>44477</v>
      </c>
      <c r="H92" s="74" t="e">
        <f t="shared" si="13"/>
        <v>#REF!</v>
      </c>
      <c r="I92" s="324" t="e">
        <f t="shared" si="12"/>
        <v>#REF!</v>
      </c>
      <c r="J92" s="391">
        <f t="shared" si="15"/>
        <v>0</v>
      </c>
      <c r="K92" s="72">
        <f t="shared" si="16"/>
        <v>0</v>
      </c>
      <c r="L92" s="71"/>
      <c r="M92" s="71"/>
    </row>
    <row r="93" spans="1:13" ht="16.5" customHeight="1" x14ac:dyDescent="0.25">
      <c r="A93" s="313"/>
      <c r="B93" s="73" t="s">
        <v>67</v>
      </c>
      <c r="C93" s="72">
        <v>84.23</v>
      </c>
      <c r="D93" s="70">
        <v>84.23</v>
      </c>
      <c r="E93" s="72">
        <f t="shared" si="14"/>
        <v>0</v>
      </c>
      <c r="F93" s="70">
        <f t="shared" si="11"/>
        <v>6.7384000000000004</v>
      </c>
      <c r="G93" s="311">
        <v>44453</v>
      </c>
      <c r="H93" s="74" t="e">
        <f t="shared" si="13"/>
        <v>#REF!</v>
      </c>
      <c r="I93" s="324" t="e">
        <f t="shared" si="12"/>
        <v>#REF!</v>
      </c>
      <c r="J93" s="391">
        <f t="shared" si="15"/>
        <v>0</v>
      </c>
      <c r="K93" s="72">
        <f t="shared" si="16"/>
        <v>0</v>
      </c>
      <c r="L93" s="71"/>
      <c r="M93" s="71"/>
    </row>
    <row r="94" spans="1:13" ht="16.5" customHeight="1" x14ac:dyDescent="0.25">
      <c r="A94" s="313"/>
      <c r="B94" s="73" t="s">
        <v>68</v>
      </c>
      <c r="C94" s="72">
        <v>697.53</v>
      </c>
      <c r="D94" s="70">
        <v>697.53</v>
      </c>
      <c r="E94" s="72">
        <f t="shared" si="14"/>
        <v>0</v>
      </c>
      <c r="F94" s="70">
        <f t="shared" si="11"/>
        <v>55.802399999999999</v>
      </c>
      <c r="G94" s="311">
        <v>44449</v>
      </c>
      <c r="H94" s="74" t="e">
        <f t="shared" si="13"/>
        <v>#REF!</v>
      </c>
      <c r="I94" s="324" t="e">
        <f t="shared" si="12"/>
        <v>#REF!</v>
      </c>
      <c r="J94" s="391">
        <f t="shared" si="15"/>
        <v>0</v>
      </c>
      <c r="K94" s="72">
        <f t="shared" si="16"/>
        <v>0</v>
      </c>
      <c r="L94" s="71"/>
      <c r="M94" s="71"/>
    </row>
    <row r="95" spans="1:13" ht="16.5" customHeight="1" x14ac:dyDescent="0.25">
      <c r="A95" s="313"/>
      <c r="B95" s="73" t="s">
        <v>109</v>
      </c>
      <c r="C95" s="72">
        <v>1533.01</v>
      </c>
      <c r="D95" s="70">
        <v>1533.01</v>
      </c>
      <c r="E95" s="72">
        <f t="shared" si="14"/>
        <v>0</v>
      </c>
      <c r="F95" s="70">
        <f t="shared" si="11"/>
        <v>122.6408</v>
      </c>
      <c r="G95" s="311">
        <v>44449</v>
      </c>
      <c r="H95" s="74" t="e">
        <f t="shared" si="13"/>
        <v>#REF!</v>
      </c>
      <c r="I95" s="324" t="e">
        <f t="shared" si="12"/>
        <v>#REF!</v>
      </c>
      <c r="J95" s="391">
        <f t="shared" si="15"/>
        <v>0</v>
      </c>
      <c r="K95" s="72">
        <f t="shared" si="16"/>
        <v>0</v>
      </c>
      <c r="L95" s="71"/>
      <c r="M95" s="71"/>
    </row>
    <row r="96" spans="1:13" ht="16.5" customHeight="1" x14ac:dyDescent="0.25">
      <c r="A96" s="313"/>
      <c r="B96" s="73" t="s">
        <v>69</v>
      </c>
      <c r="C96" s="72">
        <v>1207.42</v>
      </c>
      <c r="D96" s="70">
        <v>1207.42</v>
      </c>
      <c r="E96" s="72">
        <f t="shared" si="14"/>
        <v>0</v>
      </c>
      <c r="F96" s="70">
        <f t="shared" si="11"/>
        <v>96.593600000000009</v>
      </c>
      <c r="G96" s="311">
        <v>44449</v>
      </c>
      <c r="H96" s="74" t="e">
        <f t="shared" si="13"/>
        <v>#REF!</v>
      </c>
      <c r="I96" s="324" t="e">
        <f t="shared" si="12"/>
        <v>#REF!</v>
      </c>
      <c r="J96" s="391">
        <f t="shared" si="15"/>
        <v>0</v>
      </c>
      <c r="K96" s="72">
        <f t="shared" si="16"/>
        <v>0</v>
      </c>
      <c r="L96" s="71"/>
      <c r="M96" s="71"/>
    </row>
    <row r="97" spans="1:13" ht="16.5" customHeight="1" x14ac:dyDescent="0.25">
      <c r="A97" s="313"/>
      <c r="B97" s="73" t="s">
        <v>72</v>
      </c>
      <c r="C97" s="72">
        <v>61.07</v>
      </c>
      <c r="D97" s="70">
        <v>61.07</v>
      </c>
      <c r="E97" s="72">
        <v>61.07</v>
      </c>
      <c r="F97" s="70">
        <f t="shared" si="11"/>
        <v>4.8856000000000002</v>
      </c>
      <c r="G97" s="76"/>
      <c r="H97" s="74" t="e">
        <f>H96</f>
        <v>#REF!</v>
      </c>
      <c r="I97" s="324">
        <v>0</v>
      </c>
      <c r="J97" s="391">
        <f>J96</f>
        <v>0</v>
      </c>
      <c r="K97" s="72">
        <f t="shared" si="16"/>
        <v>0</v>
      </c>
      <c r="L97" s="71"/>
      <c r="M97" s="71"/>
    </row>
    <row r="98" spans="1:13" ht="16.5" customHeight="1" x14ac:dyDescent="0.25">
      <c r="A98" s="313"/>
      <c r="B98" s="73" t="s">
        <v>73</v>
      </c>
      <c r="C98" s="72">
        <v>816.26</v>
      </c>
      <c r="D98" s="70">
        <v>816.26</v>
      </c>
      <c r="E98" s="72">
        <f t="shared" si="14"/>
        <v>0</v>
      </c>
      <c r="F98" s="70">
        <f t="shared" si="11"/>
        <v>65.300799999999995</v>
      </c>
      <c r="G98" s="76">
        <v>44449</v>
      </c>
      <c r="H98" s="74" t="e">
        <f>#REF!</f>
        <v>#REF!</v>
      </c>
      <c r="I98" s="324" t="e">
        <f t="shared" si="12"/>
        <v>#REF!</v>
      </c>
      <c r="J98" s="391">
        <f t="shared" si="15"/>
        <v>0</v>
      </c>
      <c r="K98" s="72">
        <f t="shared" si="16"/>
        <v>0</v>
      </c>
      <c r="L98" s="71"/>
      <c r="M98" s="71"/>
    </row>
    <row r="99" spans="1:13" ht="16.5" customHeight="1" x14ac:dyDescent="0.25">
      <c r="A99" s="313"/>
      <c r="B99" s="73" t="s">
        <v>74</v>
      </c>
      <c r="C99" s="72">
        <v>3556.52</v>
      </c>
      <c r="D99" s="70">
        <v>1000</v>
      </c>
      <c r="E99" s="72">
        <v>0</v>
      </c>
      <c r="F99" s="70">
        <f t="shared" si="11"/>
        <v>284.52159999999998</v>
      </c>
      <c r="G99" s="76">
        <v>44462</v>
      </c>
      <c r="H99" s="74" t="e">
        <f t="shared" si="13"/>
        <v>#REF!</v>
      </c>
      <c r="I99" s="324" t="e">
        <f t="shared" si="12"/>
        <v>#REF!</v>
      </c>
      <c r="J99" s="391">
        <f t="shared" si="15"/>
        <v>0</v>
      </c>
      <c r="K99" s="72">
        <f t="shared" si="16"/>
        <v>0</v>
      </c>
      <c r="L99" s="71"/>
      <c r="M99" s="71"/>
    </row>
    <row r="100" spans="1:13" ht="16.5" customHeight="1" x14ac:dyDescent="0.25">
      <c r="A100" s="313"/>
      <c r="B100" s="73" t="s">
        <v>74</v>
      </c>
      <c r="C100" s="72">
        <v>0</v>
      </c>
      <c r="D100" s="70">
        <v>1000</v>
      </c>
      <c r="E100" s="72">
        <v>0</v>
      </c>
      <c r="F100" s="70">
        <f t="shared" si="11"/>
        <v>0</v>
      </c>
      <c r="G100" s="76">
        <v>44482</v>
      </c>
      <c r="H100" s="74" t="e">
        <f t="shared" si="13"/>
        <v>#REF!</v>
      </c>
      <c r="I100" s="324" t="e">
        <f t="shared" si="12"/>
        <v>#REF!</v>
      </c>
      <c r="J100" s="391">
        <f t="shared" si="15"/>
        <v>0</v>
      </c>
      <c r="K100" s="72">
        <f t="shared" si="16"/>
        <v>0</v>
      </c>
      <c r="L100" s="71"/>
      <c r="M100" s="71"/>
    </row>
    <row r="101" spans="1:13" ht="16.5" customHeight="1" x14ac:dyDescent="0.25">
      <c r="A101" s="313"/>
      <c r="B101" s="73" t="s">
        <v>74</v>
      </c>
      <c r="C101" s="72">
        <v>0</v>
      </c>
      <c r="D101" s="70">
        <v>1556.52</v>
      </c>
      <c r="E101" s="72">
        <v>0</v>
      </c>
      <c r="F101" s="70">
        <f t="shared" si="11"/>
        <v>0</v>
      </c>
      <c r="G101" s="76">
        <v>44484</v>
      </c>
      <c r="H101" s="74" t="e">
        <f t="shared" si="13"/>
        <v>#REF!</v>
      </c>
      <c r="I101" s="324" t="e">
        <f t="shared" si="12"/>
        <v>#REF!</v>
      </c>
      <c r="J101" s="391">
        <f t="shared" si="15"/>
        <v>0</v>
      </c>
      <c r="K101" s="72">
        <f t="shared" si="16"/>
        <v>0</v>
      </c>
      <c r="L101" s="71"/>
      <c r="M101" s="71"/>
    </row>
    <row r="102" spans="1:13" ht="16.5" customHeight="1" x14ac:dyDescent="0.25">
      <c r="A102" s="313"/>
      <c r="B102" s="73" t="s">
        <v>10</v>
      </c>
      <c r="C102" s="72">
        <v>117.88</v>
      </c>
      <c r="D102" s="70">
        <v>117.88</v>
      </c>
      <c r="E102" s="72">
        <f t="shared" si="14"/>
        <v>0</v>
      </c>
      <c r="F102" s="70">
        <f t="shared" si="11"/>
        <v>9.4304000000000006</v>
      </c>
      <c r="G102" s="76">
        <v>44453</v>
      </c>
      <c r="H102" s="74" t="e">
        <f t="shared" si="13"/>
        <v>#REF!</v>
      </c>
      <c r="I102" s="324" t="e">
        <f t="shared" si="12"/>
        <v>#REF!</v>
      </c>
      <c r="J102" s="391">
        <f t="shared" si="15"/>
        <v>0</v>
      </c>
      <c r="K102" s="72">
        <f t="shared" si="16"/>
        <v>0</v>
      </c>
      <c r="L102" s="71"/>
      <c r="M102" s="71"/>
    </row>
    <row r="103" spans="1:13" ht="16.5" customHeight="1" x14ac:dyDescent="0.25">
      <c r="A103" s="313"/>
      <c r="B103" s="73" t="s">
        <v>77</v>
      </c>
      <c r="C103" s="72">
        <v>2157.8000000000002</v>
      </c>
      <c r="D103" s="70">
        <v>1000</v>
      </c>
      <c r="E103" s="72">
        <v>0</v>
      </c>
      <c r="F103" s="70">
        <f t="shared" si="11"/>
        <v>172.62400000000002</v>
      </c>
      <c r="G103" s="76">
        <v>44449</v>
      </c>
      <c r="H103" s="74" t="e">
        <f t="shared" si="13"/>
        <v>#REF!</v>
      </c>
      <c r="I103" s="324" t="e">
        <f t="shared" si="12"/>
        <v>#REF!</v>
      </c>
      <c r="J103" s="391">
        <f t="shared" si="15"/>
        <v>0</v>
      </c>
      <c r="K103" s="72">
        <f t="shared" si="16"/>
        <v>0</v>
      </c>
      <c r="L103" s="71"/>
      <c r="M103" s="71"/>
    </row>
    <row r="104" spans="1:13" ht="16.5" customHeight="1" x14ac:dyDescent="0.25">
      <c r="A104" s="313"/>
      <c r="B104" s="73" t="s">
        <v>77</v>
      </c>
      <c r="C104" s="72">
        <v>0</v>
      </c>
      <c r="D104" s="70">
        <v>1157.8</v>
      </c>
      <c r="E104" s="72">
        <v>0</v>
      </c>
      <c r="F104" s="70">
        <f t="shared" si="11"/>
        <v>0</v>
      </c>
      <c r="G104" s="76">
        <v>44477</v>
      </c>
      <c r="H104" s="74" t="e">
        <f t="shared" si="13"/>
        <v>#REF!</v>
      </c>
      <c r="I104" s="324" t="e">
        <f t="shared" si="12"/>
        <v>#REF!</v>
      </c>
      <c r="J104" s="391">
        <f t="shared" si="15"/>
        <v>0</v>
      </c>
      <c r="K104" s="72">
        <f t="shared" si="16"/>
        <v>0</v>
      </c>
      <c r="L104" s="71"/>
      <c r="M104" s="71"/>
    </row>
    <row r="105" spans="1:13" ht="16.5" customHeight="1" x14ac:dyDescent="0.25">
      <c r="A105" s="313"/>
      <c r="B105" s="73" t="s">
        <v>78</v>
      </c>
      <c r="C105" s="72">
        <v>2570.11</v>
      </c>
      <c r="D105" s="70">
        <v>1000</v>
      </c>
      <c r="E105" s="72">
        <v>0</v>
      </c>
      <c r="F105" s="70">
        <f t="shared" si="11"/>
        <v>205.6088</v>
      </c>
      <c r="G105" s="76">
        <v>44449</v>
      </c>
      <c r="H105" s="74" t="e">
        <f t="shared" si="13"/>
        <v>#REF!</v>
      </c>
      <c r="I105" s="324" t="e">
        <f t="shared" si="12"/>
        <v>#REF!</v>
      </c>
      <c r="J105" s="391">
        <f t="shared" si="15"/>
        <v>0</v>
      </c>
      <c r="K105" s="72">
        <f t="shared" si="16"/>
        <v>0</v>
      </c>
      <c r="L105" s="71"/>
      <c r="M105" s="71"/>
    </row>
    <row r="106" spans="1:13" ht="16.5" customHeight="1" x14ac:dyDescent="0.25">
      <c r="A106" s="313"/>
      <c r="B106" s="73" t="s">
        <v>78</v>
      </c>
      <c r="C106" s="72">
        <v>0</v>
      </c>
      <c r="D106" s="70">
        <v>1570.11</v>
      </c>
      <c r="E106" s="72">
        <v>0</v>
      </c>
      <c r="F106" s="70">
        <f t="shared" si="11"/>
        <v>0</v>
      </c>
      <c r="G106" s="76">
        <v>44482</v>
      </c>
      <c r="H106" s="74" t="e">
        <f t="shared" si="13"/>
        <v>#REF!</v>
      </c>
      <c r="I106" s="324" t="e">
        <f t="shared" si="12"/>
        <v>#REF!</v>
      </c>
      <c r="J106" s="391">
        <f t="shared" si="15"/>
        <v>0</v>
      </c>
      <c r="K106" s="72">
        <f t="shared" si="16"/>
        <v>0</v>
      </c>
      <c r="L106" s="71"/>
      <c r="M106" s="71"/>
    </row>
    <row r="107" spans="1:13" ht="16.5" customHeight="1" x14ac:dyDescent="0.25">
      <c r="A107" s="313"/>
      <c r="B107" s="73" t="s">
        <v>79</v>
      </c>
      <c r="C107" s="72">
        <v>1620.77</v>
      </c>
      <c r="D107" s="70">
        <v>1000</v>
      </c>
      <c r="E107" s="72">
        <v>0</v>
      </c>
      <c r="F107" s="70">
        <f t="shared" si="11"/>
        <v>129.66159999999999</v>
      </c>
      <c r="G107" s="76">
        <v>44449</v>
      </c>
      <c r="H107" s="74" t="e">
        <f t="shared" si="13"/>
        <v>#REF!</v>
      </c>
      <c r="I107" s="324" t="e">
        <f t="shared" si="12"/>
        <v>#REF!</v>
      </c>
      <c r="J107" s="391">
        <f t="shared" si="15"/>
        <v>0</v>
      </c>
      <c r="K107" s="72">
        <f t="shared" si="16"/>
        <v>0</v>
      </c>
      <c r="L107" s="71"/>
      <c r="M107" s="71"/>
    </row>
    <row r="108" spans="1:13" ht="16.5" customHeight="1" x14ac:dyDescent="0.25">
      <c r="A108" s="313"/>
      <c r="B108" s="73" t="s">
        <v>79</v>
      </c>
      <c r="C108" s="72">
        <v>0</v>
      </c>
      <c r="D108" s="70">
        <v>620.77</v>
      </c>
      <c r="E108" s="72">
        <v>0</v>
      </c>
      <c r="F108" s="70">
        <f t="shared" si="11"/>
        <v>0</v>
      </c>
      <c r="G108" s="76">
        <v>44453</v>
      </c>
      <c r="H108" s="74" t="e">
        <f t="shared" si="13"/>
        <v>#REF!</v>
      </c>
      <c r="I108" s="324" t="e">
        <f t="shared" si="12"/>
        <v>#REF!</v>
      </c>
      <c r="J108" s="391">
        <f t="shared" si="15"/>
        <v>0</v>
      </c>
      <c r="K108" s="72">
        <f t="shared" si="16"/>
        <v>0</v>
      </c>
      <c r="L108" s="71"/>
      <c r="M108" s="71"/>
    </row>
    <row r="109" spans="1:13" ht="16.5" customHeight="1" x14ac:dyDescent="0.25">
      <c r="A109" s="313"/>
      <c r="B109" s="73" t="s">
        <v>80</v>
      </c>
      <c r="C109" s="72">
        <v>2390</v>
      </c>
      <c r="D109" s="70">
        <v>2390</v>
      </c>
      <c r="E109" s="72">
        <f t="shared" si="14"/>
        <v>0</v>
      </c>
      <c r="F109" s="70">
        <f t="shared" si="11"/>
        <v>191.20000000000002</v>
      </c>
      <c r="G109" s="76">
        <v>44476</v>
      </c>
      <c r="H109" s="74" t="e">
        <f t="shared" si="13"/>
        <v>#REF!</v>
      </c>
      <c r="I109" s="324" t="e">
        <f t="shared" si="12"/>
        <v>#REF!</v>
      </c>
      <c r="J109" s="391">
        <f t="shared" si="15"/>
        <v>0</v>
      </c>
      <c r="K109" s="72">
        <f t="shared" si="16"/>
        <v>0</v>
      </c>
      <c r="L109" s="71"/>
      <c r="M109" s="71"/>
    </row>
    <row r="110" spans="1:13" ht="16.5" customHeight="1" x14ac:dyDescent="0.25">
      <c r="A110" s="313"/>
      <c r="B110" s="73" t="s">
        <v>81</v>
      </c>
      <c r="C110" s="72">
        <v>2828.36</v>
      </c>
      <c r="D110" s="70">
        <v>2828.36</v>
      </c>
      <c r="E110" s="72">
        <f t="shared" si="14"/>
        <v>0</v>
      </c>
      <c r="F110" s="70">
        <f t="shared" si="11"/>
        <v>226.26880000000003</v>
      </c>
      <c r="G110" s="76">
        <v>44449</v>
      </c>
      <c r="H110" s="74" t="e">
        <f t="shared" si="13"/>
        <v>#REF!</v>
      </c>
      <c r="I110" s="324" t="e">
        <f t="shared" si="12"/>
        <v>#REF!</v>
      </c>
      <c r="J110" s="391">
        <f t="shared" si="15"/>
        <v>0</v>
      </c>
      <c r="K110" s="72">
        <f t="shared" si="16"/>
        <v>0</v>
      </c>
      <c r="L110" s="71"/>
      <c r="M110" s="71"/>
    </row>
    <row r="111" spans="1:13" ht="16.5" customHeight="1" x14ac:dyDescent="0.25">
      <c r="A111" s="313"/>
      <c r="B111" s="73" t="s">
        <v>82</v>
      </c>
      <c r="C111" s="72">
        <v>1700.67</v>
      </c>
      <c r="D111" s="70">
        <v>1000</v>
      </c>
      <c r="E111" s="72">
        <v>0</v>
      </c>
      <c r="F111" s="70">
        <f t="shared" si="11"/>
        <v>136.05360000000002</v>
      </c>
      <c r="G111" s="76">
        <v>44449</v>
      </c>
      <c r="H111" s="74" t="e">
        <f t="shared" si="13"/>
        <v>#REF!</v>
      </c>
      <c r="I111" s="324" t="e">
        <f t="shared" si="12"/>
        <v>#REF!</v>
      </c>
      <c r="J111" s="391">
        <f t="shared" si="15"/>
        <v>0</v>
      </c>
      <c r="K111" s="72">
        <f t="shared" si="16"/>
        <v>0</v>
      </c>
      <c r="L111" s="71"/>
      <c r="M111" s="71"/>
    </row>
    <row r="112" spans="1:13" ht="16.5" customHeight="1" x14ac:dyDescent="0.25">
      <c r="A112" s="313"/>
      <c r="B112" s="73" t="s">
        <v>82</v>
      </c>
      <c r="C112" s="72">
        <v>0</v>
      </c>
      <c r="D112" s="70">
        <v>700.67</v>
      </c>
      <c r="E112" s="72">
        <v>0</v>
      </c>
      <c r="F112" s="70">
        <f t="shared" si="11"/>
        <v>0</v>
      </c>
      <c r="G112" s="76">
        <v>44477</v>
      </c>
      <c r="H112" s="74" t="e">
        <f t="shared" si="13"/>
        <v>#REF!</v>
      </c>
      <c r="I112" s="324" t="e">
        <f t="shared" si="12"/>
        <v>#REF!</v>
      </c>
      <c r="J112" s="391">
        <f t="shared" si="15"/>
        <v>0</v>
      </c>
      <c r="K112" s="72">
        <f t="shared" ref="K112:K135" si="17">SUM(E112)*J112</f>
        <v>0</v>
      </c>
      <c r="L112" s="71"/>
      <c r="M112" s="71"/>
    </row>
    <row r="113" spans="1:14" ht="16.5" customHeight="1" x14ac:dyDescent="0.25">
      <c r="A113" s="313"/>
      <c r="B113" s="73" t="s">
        <v>112</v>
      </c>
      <c r="C113" s="72">
        <v>10.66</v>
      </c>
      <c r="D113" s="70">
        <v>10.66</v>
      </c>
      <c r="E113" s="72">
        <f t="shared" si="14"/>
        <v>0</v>
      </c>
      <c r="F113" s="70">
        <f t="shared" ref="F113:F135" si="18">C113*8%</f>
        <v>0.8528</v>
      </c>
      <c r="G113" s="76">
        <v>44453</v>
      </c>
      <c r="H113" s="74" t="e">
        <f t="shared" ref="H113:H135" si="19">H111</f>
        <v>#REF!</v>
      </c>
      <c r="I113" s="324" t="e">
        <f t="shared" ref="I113:I135" si="20">G113-H113</f>
        <v>#REF!</v>
      </c>
      <c r="J113" s="391">
        <f t="shared" si="15"/>
        <v>0</v>
      </c>
      <c r="K113" s="72">
        <f t="shared" si="17"/>
        <v>0</v>
      </c>
      <c r="L113" s="71"/>
      <c r="M113" s="71"/>
    </row>
    <row r="114" spans="1:14" ht="16.5" customHeight="1" x14ac:dyDescent="0.25">
      <c r="A114" s="313"/>
      <c r="B114" s="73" t="s">
        <v>85</v>
      </c>
      <c r="C114" s="72">
        <v>13.86</v>
      </c>
      <c r="D114" s="70">
        <v>13.86</v>
      </c>
      <c r="E114" s="72">
        <f t="shared" si="14"/>
        <v>0</v>
      </c>
      <c r="F114" s="70">
        <f t="shared" si="18"/>
        <v>1.1088</v>
      </c>
      <c r="G114" s="76">
        <v>44453</v>
      </c>
      <c r="H114" s="74" t="e">
        <f t="shared" si="19"/>
        <v>#REF!</v>
      </c>
      <c r="I114" s="324" t="e">
        <f t="shared" si="20"/>
        <v>#REF!</v>
      </c>
      <c r="J114" s="391">
        <f t="shared" si="15"/>
        <v>0</v>
      </c>
      <c r="K114" s="72">
        <f t="shared" si="17"/>
        <v>0</v>
      </c>
      <c r="L114" s="71"/>
      <c r="M114" s="71"/>
    </row>
    <row r="115" spans="1:14" ht="16.5" customHeight="1" x14ac:dyDescent="0.25">
      <c r="A115" s="313"/>
      <c r="B115" s="73" t="s">
        <v>87</v>
      </c>
      <c r="C115" s="72">
        <v>4.09</v>
      </c>
      <c r="D115" s="70">
        <v>4.09</v>
      </c>
      <c r="E115" s="72">
        <f t="shared" si="14"/>
        <v>0</v>
      </c>
      <c r="F115" s="70">
        <f t="shared" si="18"/>
        <v>0.32719999999999999</v>
      </c>
      <c r="G115" s="76">
        <v>44453</v>
      </c>
      <c r="H115" s="74" t="e">
        <f>#REF!</f>
        <v>#REF!</v>
      </c>
      <c r="I115" s="324" t="e">
        <f t="shared" si="20"/>
        <v>#REF!</v>
      </c>
      <c r="J115" s="391">
        <f>J114</f>
        <v>0</v>
      </c>
      <c r="K115" s="72">
        <f t="shared" si="17"/>
        <v>0</v>
      </c>
      <c r="L115" s="71"/>
      <c r="M115" s="71"/>
    </row>
    <row r="116" spans="1:14" ht="16.5" customHeight="1" x14ac:dyDescent="0.25">
      <c r="A116" s="313"/>
      <c r="B116" s="73" t="s">
        <v>88</v>
      </c>
      <c r="C116" s="72">
        <v>102.54</v>
      </c>
      <c r="D116" s="70">
        <v>102.54</v>
      </c>
      <c r="E116" s="72">
        <f t="shared" si="14"/>
        <v>0</v>
      </c>
      <c r="F116" s="70">
        <f t="shared" si="18"/>
        <v>8.2032000000000007</v>
      </c>
      <c r="G116" s="76">
        <v>44453</v>
      </c>
      <c r="H116" s="74" t="e">
        <f>#REF!</f>
        <v>#REF!</v>
      </c>
      <c r="I116" s="324" t="e">
        <f t="shared" si="20"/>
        <v>#REF!</v>
      </c>
      <c r="J116" s="391">
        <f t="shared" si="15"/>
        <v>0</v>
      </c>
      <c r="K116" s="72">
        <f t="shared" si="17"/>
        <v>0</v>
      </c>
      <c r="L116" s="71"/>
      <c r="M116" s="71"/>
    </row>
    <row r="117" spans="1:14" ht="16.5" customHeight="1" x14ac:dyDescent="0.25">
      <c r="A117" s="313"/>
      <c r="B117" s="73" t="s">
        <v>89</v>
      </c>
      <c r="C117" s="72">
        <v>59.68</v>
      </c>
      <c r="D117" s="70">
        <v>59.68</v>
      </c>
      <c r="E117" s="72">
        <f t="shared" si="14"/>
        <v>0</v>
      </c>
      <c r="F117" s="70">
        <f t="shared" si="18"/>
        <v>4.7744</v>
      </c>
      <c r="G117" s="76">
        <v>44453</v>
      </c>
      <c r="H117" s="74" t="e">
        <f t="shared" si="19"/>
        <v>#REF!</v>
      </c>
      <c r="I117" s="324" t="e">
        <f t="shared" si="20"/>
        <v>#REF!</v>
      </c>
      <c r="J117" s="391">
        <f t="shared" si="15"/>
        <v>0</v>
      </c>
      <c r="K117" s="72">
        <f t="shared" si="17"/>
        <v>0</v>
      </c>
      <c r="L117" s="71"/>
      <c r="M117" s="71"/>
    </row>
    <row r="118" spans="1:14" ht="16.5" customHeight="1" x14ac:dyDescent="0.25">
      <c r="A118" s="176">
        <v>1</v>
      </c>
      <c r="B118" s="73" t="s">
        <v>113</v>
      </c>
      <c r="C118" s="72">
        <v>385.38</v>
      </c>
      <c r="D118" s="70">
        <f t="shared" ref="D118:D135" si="21">ROUND(C118*A118,2)</f>
        <v>385.38</v>
      </c>
      <c r="E118" s="72">
        <f t="shared" si="14"/>
        <v>0</v>
      </c>
      <c r="F118" s="70">
        <f t="shared" si="18"/>
        <v>30.830400000000001</v>
      </c>
      <c r="G118" s="76">
        <v>44449</v>
      </c>
      <c r="H118" s="74" t="e">
        <f t="shared" si="19"/>
        <v>#REF!</v>
      </c>
      <c r="I118" s="324" t="e">
        <f t="shared" si="20"/>
        <v>#REF!</v>
      </c>
      <c r="J118" s="391">
        <f t="shared" si="15"/>
        <v>0</v>
      </c>
      <c r="K118" s="72">
        <f t="shared" si="17"/>
        <v>0</v>
      </c>
      <c r="L118" s="71" t="s">
        <v>158</v>
      </c>
      <c r="M118" s="71" t="s">
        <v>161</v>
      </c>
    </row>
    <row r="119" spans="1:14" ht="16.5" customHeight="1" x14ac:dyDescent="0.25">
      <c r="A119" s="176">
        <v>1</v>
      </c>
      <c r="B119" s="73" t="s">
        <v>222</v>
      </c>
      <c r="C119" s="72">
        <v>805.56</v>
      </c>
      <c r="D119" s="70">
        <f t="shared" si="21"/>
        <v>805.56</v>
      </c>
      <c r="E119" s="72">
        <f t="shared" si="14"/>
        <v>0</v>
      </c>
      <c r="F119" s="70">
        <f t="shared" si="18"/>
        <v>64.444800000000001</v>
      </c>
      <c r="G119" s="76">
        <v>44449</v>
      </c>
      <c r="H119" s="74" t="e">
        <f t="shared" si="19"/>
        <v>#REF!</v>
      </c>
      <c r="I119" s="324" t="e">
        <f t="shared" si="20"/>
        <v>#REF!</v>
      </c>
      <c r="J119" s="391">
        <f t="shared" si="15"/>
        <v>0</v>
      </c>
      <c r="K119" s="72">
        <f t="shared" si="17"/>
        <v>0</v>
      </c>
      <c r="L119" s="71" t="s">
        <v>158</v>
      </c>
      <c r="M119" s="71" t="s">
        <v>161</v>
      </c>
      <c r="N119" s="163"/>
    </row>
    <row r="120" spans="1:14" ht="16.5" customHeight="1" x14ac:dyDescent="0.25">
      <c r="A120" s="176">
        <v>1</v>
      </c>
      <c r="B120" s="73" t="s">
        <v>90</v>
      </c>
      <c r="C120" s="72">
        <v>14.74</v>
      </c>
      <c r="D120" s="70">
        <f t="shared" si="21"/>
        <v>14.74</v>
      </c>
      <c r="E120" s="72">
        <f t="shared" si="14"/>
        <v>0</v>
      </c>
      <c r="F120" s="70">
        <f t="shared" si="18"/>
        <v>1.1792</v>
      </c>
      <c r="G120" s="76">
        <v>44453</v>
      </c>
      <c r="H120" s="74" t="e">
        <f t="shared" si="19"/>
        <v>#REF!</v>
      </c>
      <c r="I120" s="324" t="e">
        <f t="shared" si="20"/>
        <v>#REF!</v>
      </c>
      <c r="J120" s="391">
        <f t="shared" si="15"/>
        <v>0</v>
      </c>
      <c r="K120" s="72">
        <f t="shared" si="17"/>
        <v>0</v>
      </c>
      <c r="L120" s="71" t="s">
        <v>158</v>
      </c>
      <c r="M120" s="71" t="s">
        <v>161</v>
      </c>
    </row>
    <row r="121" spans="1:14" ht="16.5" customHeight="1" x14ac:dyDescent="0.25">
      <c r="A121" s="176">
        <v>1</v>
      </c>
      <c r="B121" s="73" t="s">
        <v>91</v>
      </c>
      <c r="C121" s="72">
        <v>5.18</v>
      </c>
      <c r="D121" s="70">
        <f t="shared" si="21"/>
        <v>5.18</v>
      </c>
      <c r="E121" s="72">
        <f t="shared" si="14"/>
        <v>0</v>
      </c>
      <c r="F121" s="70">
        <f t="shared" si="18"/>
        <v>0.41439999999999999</v>
      </c>
      <c r="G121" s="76">
        <v>44453</v>
      </c>
      <c r="H121" s="74" t="e">
        <f t="shared" si="19"/>
        <v>#REF!</v>
      </c>
      <c r="I121" s="324" t="e">
        <f t="shared" si="20"/>
        <v>#REF!</v>
      </c>
      <c r="J121" s="391">
        <f t="shared" si="15"/>
        <v>0</v>
      </c>
      <c r="K121" s="72">
        <f t="shared" si="17"/>
        <v>0</v>
      </c>
      <c r="L121" s="71" t="s">
        <v>158</v>
      </c>
      <c r="M121" s="71" t="s">
        <v>161</v>
      </c>
    </row>
    <row r="122" spans="1:14" ht="16.5" customHeight="1" x14ac:dyDescent="0.25">
      <c r="A122" s="176">
        <v>1</v>
      </c>
      <c r="B122" s="73" t="s">
        <v>93</v>
      </c>
      <c r="C122" s="72">
        <v>51.27</v>
      </c>
      <c r="D122" s="70">
        <f t="shared" si="21"/>
        <v>51.27</v>
      </c>
      <c r="E122" s="72">
        <f t="shared" si="14"/>
        <v>0</v>
      </c>
      <c r="F122" s="70">
        <f t="shared" si="18"/>
        <v>4.1016000000000004</v>
      </c>
      <c r="G122" s="76">
        <v>44453</v>
      </c>
      <c r="H122" s="74" t="e">
        <f>H121</f>
        <v>#REF!</v>
      </c>
      <c r="I122" s="324" t="e">
        <f t="shared" si="20"/>
        <v>#REF!</v>
      </c>
      <c r="J122" s="391">
        <f>J121</f>
        <v>0</v>
      </c>
      <c r="K122" s="72">
        <f t="shared" si="17"/>
        <v>0</v>
      </c>
      <c r="L122" s="71" t="s">
        <v>150</v>
      </c>
      <c r="M122" s="71" t="s">
        <v>154</v>
      </c>
    </row>
    <row r="123" spans="1:14" ht="16.5" customHeight="1" x14ac:dyDescent="0.25">
      <c r="A123" s="176">
        <v>1</v>
      </c>
      <c r="B123" s="73" t="s">
        <v>94</v>
      </c>
      <c r="C123" s="72">
        <v>2031</v>
      </c>
      <c r="D123" s="70">
        <v>1000</v>
      </c>
      <c r="E123" s="72">
        <v>0</v>
      </c>
      <c r="F123" s="70">
        <f t="shared" si="18"/>
        <v>162.47999999999999</v>
      </c>
      <c r="G123" s="76">
        <v>44453</v>
      </c>
      <c r="H123" s="74" t="e">
        <f>#REF!</f>
        <v>#REF!</v>
      </c>
      <c r="I123" s="324" t="e">
        <f t="shared" si="20"/>
        <v>#REF!</v>
      </c>
      <c r="J123" s="391">
        <f t="shared" si="15"/>
        <v>0</v>
      </c>
      <c r="K123" s="72">
        <f t="shared" si="17"/>
        <v>0</v>
      </c>
      <c r="L123" s="71" t="s">
        <v>150</v>
      </c>
      <c r="M123" s="71" t="s">
        <v>154</v>
      </c>
    </row>
    <row r="124" spans="1:14" ht="16.5" customHeight="1" x14ac:dyDescent="0.25">
      <c r="A124" s="176">
        <v>1</v>
      </c>
      <c r="B124" s="73" t="s">
        <v>94</v>
      </c>
      <c r="C124" s="72">
        <v>0</v>
      </c>
      <c r="D124" s="70">
        <f>ROUND(C123*A123,2)-D123</f>
        <v>1031</v>
      </c>
      <c r="E124" s="72">
        <v>0</v>
      </c>
      <c r="F124" s="70">
        <f t="shared" si="18"/>
        <v>0</v>
      </c>
      <c r="G124" s="76">
        <v>44477</v>
      </c>
      <c r="H124" s="74" t="e">
        <f t="shared" si="19"/>
        <v>#REF!</v>
      </c>
      <c r="I124" s="324" t="e">
        <f t="shared" si="20"/>
        <v>#REF!</v>
      </c>
      <c r="J124" s="391">
        <f t="shared" si="15"/>
        <v>0</v>
      </c>
      <c r="K124" s="72">
        <f t="shared" si="17"/>
        <v>0</v>
      </c>
      <c r="L124" s="71" t="s">
        <v>158</v>
      </c>
      <c r="M124" s="71" t="s">
        <v>161</v>
      </c>
      <c r="N124" s="165"/>
    </row>
    <row r="125" spans="1:14" ht="16.5" customHeight="1" x14ac:dyDescent="0.25">
      <c r="A125" s="176">
        <v>1</v>
      </c>
      <c r="B125" s="73" t="s">
        <v>95</v>
      </c>
      <c r="C125" s="72">
        <v>1322.59</v>
      </c>
      <c r="D125" s="70">
        <f t="shared" ref="D125:D129" si="22">ROUND(C125*A125,2)</f>
        <v>1322.59</v>
      </c>
      <c r="E125" s="72">
        <f t="shared" si="14"/>
        <v>0</v>
      </c>
      <c r="F125" s="70">
        <f t="shared" si="18"/>
        <v>105.80719999999999</v>
      </c>
      <c r="G125" s="76">
        <v>44476</v>
      </c>
      <c r="H125" s="74" t="e">
        <f t="shared" si="19"/>
        <v>#REF!</v>
      </c>
      <c r="I125" s="324" t="e">
        <f t="shared" si="20"/>
        <v>#REF!</v>
      </c>
      <c r="J125" s="391">
        <f t="shared" si="15"/>
        <v>0</v>
      </c>
      <c r="K125" s="72">
        <f t="shared" si="17"/>
        <v>0</v>
      </c>
      <c r="L125" s="71" t="s">
        <v>158</v>
      </c>
      <c r="M125" s="71" t="s">
        <v>161</v>
      </c>
    </row>
    <row r="126" spans="1:14" ht="16.5" customHeight="1" x14ac:dyDescent="0.25">
      <c r="A126" s="176">
        <v>1</v>
      </c>
      <c r="B126" s="73" t="s">
        <v>223</v>
      </c>
      <c r="C126" s="72">
        <v>745.15</v>
      </c>
      <c r="D126" s="70">
        <f t="shared" si="22"/>
        <v>745.15</v>
      </c>
      <c r="E126" s="72">
        <f t="shared" si="14"/>
        <v>0</v>
      </c>
      <c r="F126" s="70">
        <f t="shared" si="18"/>
        <v>59.612000000000002</v>
      </c>
      <c r="G126" s="76">
        <v>44449</v>
      </c>
      <c r="H126" s="74" t="e">
        <f t="shared" si="19"/>
        <v>#REF!</v>
      </c>
      <c r="I126" s="324" t="e">
        <f t="shared" si="20"/>
        <v>#REF!</v>
      </c>
      <c r="J126" s="391">
        <f t="shared" si="15"/>
        <v>0</v>
      </c>
      <c r="K126" s="72">
        <f t="shared" si="17"/>
        <v>0</v>
      </c>
      <c r="L126" s="71" t="s">
        <v>158</v>
      </c>
      <c r="M126" s="71" t="s">
        <v>161</v>
      </c>
    </row>
    <row r="127" spans="1:14" ht="16.5" customHeight="1" x14ac:dyDescent="0.25">
      <c r="A127" s="176">
        <v>1</v>
      </c>
      <c r="B127" s="77" t="s">
        <v>15</v>
      </c>
      <c r="C127" s="72">
        <v>12.91</v>
      </c>
      <c r="D127" s="70">
        <f t="shared" si="22"/>
        <v>12.91</v>
      </c>
      <c r="E127" s="72">
        <f t="shared" si="14"/>
        <v>0</v>
      </c>
      <c r="F127" s="70">
        <f t="shared" si="18"/>
        <v>1.0327999999999999</v>
      </c>
      <c r="G127" s="76">
        <v>44453</v>
      </c>
      <c r="H127" s="74" t="e">
        <f t="shared" si="19"/>
        <v>#REF!</v>
      </c>
      <c r="I127" s="324" t="e">
        <f t="shared" si="20"/>
        <v>#REF!</v>
      </c>
      <c r="J127" s="391">
        <f t="shared" si="15"/>
        <v>0</v>
      </c>
      <c r="K127" s="72">
        <f t="shared" si="17"/>
        <v>0</v>
      </c>
      <c r="L127" s="71" t="s">
        <v>158</v>
      </c>
      <c r="M127" s="71" t="s">
        <v>161</v>
      </c>
    </row>
    <row r="128" spans="1:14" ht="16.5" customHeight="1" x14ac:dyDescent="0.25">
      <c r="A128" s="176">
        <v>1</v>
      </c>
      <c r="B128" s="73" t="s">
        <v>136</v>
      </c>
      <c r="C128" s="72">
        <v>745.15</v>
      </c>
      <c r="D128" s="70">
        <f t="shared" si="22"/>
        <v>745.15</v>
      </c>
      <c r="E128" s="72">
        <f t="shared" ref="E128:E135" si="23">C128-D128</f>
        <v>0</v>
      </c>
      <c r="F128" s="70">
        <f t="shared" si="18"/>
        <v>59.612000000000002</v>
      </c>
      <c r="G128" s="76">
        <v>44449</v>
      </c>
      <c r="H128" s="74" t="e">
        <f>#REF!</f>
        <v>#REF!</v>
      </c>
      <c r="I128" s="324" t="e">
        <f t="shared" si="20"/>
        <v>#REF!</v>
      </c>
      <c r="J128" s="391">
        <f>J127</f>
        <v>0</v>
      </c>
      <c r="K128" s="72">
        <f t="shared" si="17"/>
        <v>0</v>
      </c>
      <c r="L128" s="71" t="s">
        <v>150</v>
      </c>
      <c r="M128" s="71" t="s">
        <v>154</v>
      </c>
    </row>
    <row r="129" spans="1:13" ht="16.5" customHeight="1" x14ac:dyDescent="0.25">
      <c r="A129" s="176">
        <v>1</v>
      </c>
      <c r="B129" s="73" t="s">
        <v>98</v>
      </c>
      <c r="C129" s="72">
        <v>2564.02</v>
      </c>
      <c r="D129" s="70">
        <f t="shared" si="22"/>
        <v>2564.02</v>
      </c>
      <c r="E129" s="72">
        <f t="shared" si="23"/>
        <v>0</v>
      </c>
      <c r="F129" s="70">
        <f t="shared" si="18"/>
        <v>205.1216</v>
      </c>
      <c r="G129" s="76">
        <v>44538</v>
      </c>
      <c r="H129" s="74" t="e">
        <f>#REF!</f>
        <v>#REF!</v>
      </c>
      <c r="I129" s="324" t="e">
        <f t="shared" si="20"/>
        <v>#REF!</v>
      </c>
      <c r="J129" s="391">
        <f t="shared" ref="J129:J135" si="24">J128</f>
        <v>0</v>
      </c>
      <c r="K129" s="72">
        <f t="shared" si="17"/>
        <v>0</v>
      </c>
      <c r="L129" s="71" t="s">
        <v>150</v>
      </c>
      <c r="M129" s="71" t="s">
        <v>154</v>
      </c>
    </row>
    <row r="130" spans="1:13" ht="16.5" customHeight="1" x14ac:dyDescent="0.25">
      <c r="A130" s="176">
        <v>1</v>
      </c>
      <c r="B130" s="73" t="s">
        <v>99</v>
      </c>
      <c r="C130" s="72">
        <v>3247.44</v>
      </c>
      <c r="D130" s="70">
        <v>1000</v>
      </c>
      <c r="E130" s="72">
        <v>0</v>
      </c>
      <c r="F130" s="70">
        <f t="shared" si="18"/>
        <v>259.79520000000002</v>
      </c>
      <c r="G130" s="76">
        <v>44449</v>
      </c>
      <c r="H130" s="74" t="e">
        <f t="shared" si="19"/>
        <v>#REF!</v>
      </c>
      <c r="I130" s="324" t="e">
        <f t="shared" si="20"/>
        <v>#REF!</v>
      </c>
      <c r="J130" s="391">
        <f t="shared" si="24"/>
        <v>0</v>
      </c>
      <c r="K130" s="72">
        <f t="shared" si="17"/>
        <v>0</v>
      </c>
      <c r="L130" s="71" t="s">
        <v>158</v>
      </c>
      <c r="M130" s="71" t="s">
        <v>161</v>
      </c>
    </row>
    <row r="131" spans="1:13" ht="16.5" customHeight="1" x14ac:dyDescent="0.25">
      <c r="A131" s="176">
        <v>1</v>
      </c>
      <c r="B131" s="73" t="s">
        <v>99</v>
      </c>
      <c r="C131" s="72">
        <v>0</v>
      </c>
      <c r="D131" s="70">
        <v>1000</v>
      </c>
      <c r="E131" s="72">
        <v>0</v>
      </c>
      <c r="F131" s="70">
        <f t="shared" si="18"/>
        <v>0</v>
      </c>
      <c r="G131" s="76">
        <v>44482</v>
      </c>
      <c r="H131" s="74" t="e">
        <f t="shared" si="19"/>
        <v>#REF!</v>
      </c>
      <c r="I131" s="324" t="e">
        <f t="shared" si="20"/>
        <v>#REF!</v>
      </c>
      <c r="J131" s="391">
        <f t="shared" si="24"/>
        <v>0</v>
      </c>
      <c r="K131" s="72">
        <f t="shared" si="17"/>
        <v>0</v>
      </c>
      <c r="L131" s="71" t="s">
        <v>158</v>
      </c>
      <c r="M131" s="71" t="s">
        <v>161</v>
      </c>
    </row>
    <row r="132" spans="1:13" ht="16.5" customHeight="1" x14ac:dyDescent="0.25">
      <c r="A132" s="176">
        <v>1</v>
      </c>
      <c r="B132" s="73" t="s">
        <v>99</v>
      </c>
      <c r="C132" s="72">
        <v>0</v>
      </c>
      <c r="D132" s="70">
        <f>ROUND(C130*A130,2)-D130-D131</f>
        <v>1247.44</v>
      </c>
      <c r="E132" s="72">
        <v>0</v>
      </c>
      <c r="F132" s="70">
        <f t="shared" si="18"/>
        <v>0</v>
      </c>
      <c r="G132" s="76">
        <v>44483</v>
      </c>
      <c r="H132" s="74" t="e">
        <f t="shared" si="19"/>
        <v>#REF!</v>
      </c>
      <c r="I132" s="324" t="e">
        <f t="shared" si="20"/>
        <v>#REF!</v>
      </c>
      <c r="J132" s="391">
        <f t="shared" si="24"/>
        <v>0</v>
      </c>
      <c r="K132" s="72">
        <f t="shared" si="17"/>
        <v>0</v>
      </c>
      <c r="L132" s="71" t="s">
        <v>158</v>
      </c>
      <c r="M132" s="71" t="s">
        <v>161</v>
      </c>
    </row>
    <row r="133" spans="1:13" ht="16.5" customHeight="1" x14ac:dyDescent="0.25">
      <c r="A133" s="176">
        <v>1</v>
      </c>
      <c r="B133" s="73" t="s">
        <v>100</v>
      </c>
      <c r="C133" s="72">
        <v>1603.22</v>
      </c>
      <c r="D133" s="70">
        <v>1000</v>
      </c>
      <c r="E133" s="72">
        <v>0</v>
      </c>
      <c r="F133" s="70">
        <f t="shared" si="18"/>
        <v>128.2576</v>
      </c>
      <c r="G133" s="76">
        <v>44449</v>
      </c>
      <c r="H133" s="74" t="e">
        <f t="shared" si="19"/>
        <v>#REF!</v>
      </c>
      <c r="I133" s="324" t="e">
        <f t="shared" si="20"/>
        <v>#REF!</v>
      </c>
      <c r="J133" s="391">
        <f t="shared" si="24"/>
        <v>0</v>
      </c>
      <c r="K133" s="72">
        <f t="shared" si="17"/>
        <v>0</v>
      </c>
      <c r="L133" s="71" t="s">
        <v>158</v>
      </c>
      <c r="M133" s="71" t="s">
        <v>161</v>
      </c>
    </row>
    <row r="134" spans="1:13" ht="16.5" customHeight="1" x14ac:dyDescent="0.25">
      <c r="A134" s="176">
        <v>1</v>
      </c>
      <c r="B134" s="73" t="s">
        <v>100</v>
      </c>
      <c r="C134" s="72">
        <v>0</v>
      </c>
      <c r="D134" s="70">
        <f>ROUND(C133*A133,2)-D133</f>
        <v>603.22</v>
      </c>
      <c r="E134" s="72">
        <v>0</v>
      </c>
      <c r="F134" s="70">
        <f t="shared" si="18"/>
        <v>0</v>
      </c>
      <c r="G134" s="76">
        <v>44477</v>
      </c>
      <c r="H134" s="74" t="e">
        <f t="shared" si="19"/>
        <v>#REF!</v>
      </c>
      <c r="I134" s="324" t="e">
        <f t="shared" si="20"/>
        <v>#REF!</v>
      </c>
      <c r="J134" s="391">
        <f t="shared" si="24"/>
        <v>0</v>
      </c>
      <c r="K134" s="72">
        <f t="shared" si="17"/>
        <v>0</v>
      </c>
      <c r="L134" s="71" t="s">
        <v>158</v>
      </c>
      <c r="M134" s="71" t="s">
        <v>161</v>
      </c>
    </row>
    <row r="135" spans="1:13" ht="16.5" customHeight="1" x14ac:dyDescent="0.25">
      <c r="A135" s="176">
        <v>1</v>
      </c>
      <c r="B135" s="73" t="s">
        <v>101</v>
      </c>
      <c r="C135" s="72">
        <v>5.05</v>
      </c>
      <c r="D135" s="70">
        <f t="shared" si="21"/>
        <v>5.05</v>
      </c>
      <c r="E135" s="72">
        <f t="shared" si="23"/>
        <v>0</v>
      </c>
      <c r="F135" s="70">
        <f t="shared" si="18"/>
        <v>0.40399999999999997</v>
      </c>
      <c r="G135" s="76">
        <v>44453</v>
      </c>
      <c r="H135" s="74" t="e">
        <f t="shared" si="19"/>
        <v>#REF!</v>
      </c>
      <c r="I135" s="324" t="e">
        <f t="shared" si="20"/>
        <v>#REF!</v>
      </c>
      <c r="J135" s="391">
        <f t="shared" si="24"/>
        <v>0</v>
      </c>
      <c r="K135" s="72">
        <f t="shared" si="17"/>
        <v>0</v>
      </c>
      <c r="L135" s="71" t="s">
        <v>158</v>
      </c>
      <c r="M135" s="71" t="s">
        <v>161</v>
      </c>
    </row>
    <row r="136" spans="1:13" s="65" customFormat="1" ht="17.25" customHeight="1" x14ac:dyDescent="0.25">
      <c r="A136" s="190"/>
      <c r="B136" s="181" t="s">
        <v>162</v>
      </c>
      <c r="C136" s="181">
        <f>SUM(C51:C135)</f>
        <v>57364.679999999986</v>
      </c>
      <c r="D136" s="181">
        <f>SUM(D51:D135)</f>
        <v>57364.685999999987</v>
      </c>
      <c r="E136" s="317">
        <f>SUM(E51:E135)</f>
        <v>61.07</v>
      </c>
      <c r="F136" s="181">
        <f>SUM(F51:F135)</f>
        <v>4589.1744000000008</v>
      </c>
      <c r="G136" s="182"/>
      <c r="H136" s="182"/>
      <c r="I136" s="182"/>
      <c r="J136" s="392"/>
      <c r="K136" s="181">
        <f>SUM(K51:K135)</f>
        <v>0</v>
      </c>
      <c r="L136" s="186"/>
      <c r="M136" s="186"/>
    </row>
    <row r="137" spans="1:13" ht="15.75" x14ac:dyDescent="0.25">
      <c r="A137" s="186"/>
      <c r="B137" s="187" t="s">
        <v>103</v>
      </c>
      <c r="C137" s="188">
        <f>SUM(C136+C50+C22)</f>
        <v>145264.84999999998</v>
      </c>
      <c r="D137" s="188">
        <f>SUM(D136+D50+D22)</f>
        <v>106140.31600000001</v>
      </c>
      <c r="E137" s="188">
        <f>E136+E50+E22</f>
        <v>39185.61</v>
      </c>
      <c r="F137" s="188">
        <f>F136+F50+F22</f>
        <v>11621.188</v>
      </c>
      <c r="G137" s="189"/>
      <c r="H137" s="189"/>
      <c r="I137" s="189"/>
      <c r="J137" s="393"/>
      <c r="K137" s="390">
        <f>SUM(K136+K50+K22)</f>
        <v>0</v>
      </c>
    </row>
    <row r="139" spans="1:13" x14ac:dyDescent="0.25">
      <c r="B139" s="166"/>
      <c r="C139" s="220"/>
      <c r="D139" s="166"/>
      <c r="E139" s="166"/>
      <c r="F139" s="166"/>
      <c r="G139" s="67"/>
      <c r="H139" s="67"/>
      <c r="I139" s="67"/>
      <c r="J139" s="67"/>
      <c r="K139" s="67"/>
    </row>
    <row r="140" spans="1:13" x14ac:dyDescent="0.25">
      <c r="B140" s="166"/>
      <c r="C140" s="97"/>
      <c r="D140" s="97"/>
      <c r="E140" s="166"/>
      <c r="F140" s="166"/>
    </row>
    <row r="141" spans="1:13" x14ac:dyDescent="0.25">
      <c r="B141" s="166"/>
      <c r="C141" s="97"/>
      <c r="D141" s="97"/>
      <c r="E141" s="166"/>
      <c r="F141" s="166"/>
    </row>
    <row r="142" spans="1:13" x14ac:dyDescent="0.25">
      <c r="B142" s="166"/>
      <c r="C142" s="97"/>
      <c r="D142" s="97"/>
      <c r="E142" s="166"/>
      <c r="F142" s="166"/>
    </row>
    <row r="143" spans="1:13" x14ac:dyDescent="0.25">
      <c r="C143" s="97"/>
      <c r="D143" s="97"/>
    </row>
    <row r="144" spans="1:13" x14ac:dyDescent="0.25">
      <c r="C144" s="97"/>
      <c r="D144" s="97"/>
    </row>
  </sheetData>
  <autoFilter ref="A4:M135" xr:uid="{00000000-0009-0000-0000-000000000000}"/>
  <pageMargins left="0.51181102362204722" right="0.51181102362204722" top="0.47244094488188981" bottom="0.47244094488188981" header="0.31496062992125984" footer="0.31496062992125984"/>
  <pageSetup paperSize="9" scale="76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E8068-9FD0-46AE-86B4-05D8C7E46AB3}">
  <sheetPr>
    <tabColor rgb="FF00B050"/>
    <pageSetUpPr fitToPage="1"/>
  </sheetPr>
  <dimension ref="A1:Q111"/>
  <sheetViews>
    <sheetView showGridLines="0" workbookViewId="0">
      <selection activeCell="K38" sqref="K1:L1048576"/>
    </sheetView>
  </sheetViews>
  <sheetFormatPr defaultRowHeight="15" x14ac:dyDescent="0.25"/>
  <cols>
    <col min="1" max="1" width="9.85546875" style="60" customWidth="1"/>
    <col min="2" max="2" width="43.28515625" style="60" customWidth="1"/>
    <col min="3" max="3" width="14.140625" style="59" customWidth="1"/>
    <col min="4" max="4" width="14.42578125" style="69" customWidth="1"/>
    <col min="5" max="5" width="16.28515625" style="69" customWidth="1"/>
    <col min="6" max="6" width="13.5703125" style="69" customWidth="1"/>
    <col min="7" max="7" width="12.28515625" style="60" hidden="1" customWidth="1"/>
    <col min="8" max="8" width="12.85546875" style="60" hidden="1" customWidth="1"/>
    <col min="9" max="9" width="14.28515625" style="60" hidden="1" customWidth="1"/>
    <col min="10" max="12" width="16.140625" style="60" hidden="1" customWidth="1"/>
    <col min="13" max="13" width="19.7109375" style="60" hidden="1" customWidth="1"/>
    <col min="14" max="14" width="17.85546875" style="60" hidden="1" customWidth="1"/>
    <col min="15" max="17" width="9.140625" style="60" hidden="1" customWidth="1"/>
    <col min="18" max="36" width="9.140625" style="60" customWidth="1"/>
    <col min="37" max="16384" width="9.140625" style="60"/>
  </cols>
  <sheetData>
    <row r="1" spans="1:15" ht="17.25" customHeight="1" x14ac:dyDescent="0.25">
      <c r="A1" s="221"/>
      <c r="B1" s="303" t="s">
        <v>141</v>
      </c>
      <c r="C1" s="304"/>
      <c r="D1" s="222"/>
      <c r="E1" s="83"/>
      <c r="F1" s="83"/>
      <c r="G1" s="223"/>
      <c r="H1" s="223"/>
      <c r="I1" s="223"/>
      <c r="J1" s="223"/>
      <c r="K1" s="223"/>
      <c r="L1" s="223"/>
      <c r="M1" s="223"/>
      <c r="N1" s="84"/>
    </row>
    <row r="2" spans="1:15" ht="15.75" x14ac:dyDescent="0.25">
      <c r="A2" s="59"/>
      <c r="B2" s="305" t="s">
        <v>226</v>
      </c>
      <c r="C2" s="306"/>
      <c r="D2" s="58"/>
      <c r="E2" s="58"/>
      <c r="F2" s="58"/>
      <c r="G2" s="59"/>
      <c r="H2" s="59"/>
      <c r="I2" s="59"/>
      <c r="J2" s="59"/>
      <c r="K2" s="59"/>
      <c r="L2" s="59"/>
      <c r="M2" s="59"/>
      <c r="N2" s="85"/>
    </row>
    <row r="3" spans="1:15" ht="15.75" x14ac:dyDescent="0.25">
      <c r="A3" s="224"/>
      <c r="B3" s="307" t="s">
        <v>210</v>
      </c>
      <c r="C3" s="255"/>
      <c r="D3" s="88"/>
      <c r="E3" s="88"/>
      <c r="F3" s="88"/>
      <c r="G3" s="224"/>
      <c r="H3" s="224"/>
      <c r="I3" s="224"/>
      <c r="J3" s="224"/>
      <c r="K3" s="224"/>
      <c r="L3" s="224"/>
      <c r="M3" s="224"/>
      <c r="N3" s="89"/>
    </row>
    <row r="4" spans="1:15" s="217" customFormat="1" ht="43.5" customHeight="1" x14ac:dyDescent="0.25">
      <c r="A4" s="62" t="s">
        <v>143</v>
      </c>
      <c r="B4" s="63" t="s">
        <v>144</v>
      </c>
      <c r="C4" s="58" t="s">
        <v>140</v>
      </c>
      <c r="D4" s="218" t="s">
        <v>145</v>
      </c>
      <c r="E4" s="58" t="s">
        <v>146</v>
      </c>
      <c r="F4" s="58" t="s">
        <v>212</v>
      </c>
      <c r="G4" s="58" t="s">
        <v>147</v>
      </c>
      <c r="H4" s="310" t="s">
        <v>213</v>
      </c>
      <c r="I4" s="310" t="s">
        <v>214</v>
      </c>
      <c r="J4" s="58" t="s">
        <v>224</v>
      </c>
      <c r="K4" s="361" t="s">
        <v>252</v>
      </c>
      <c r="L4" s="361" t="s">
        <v>256</v>
      </c>
      <c r="M4" s="58" t="s">
        <v>148</v>
      </c>
      <c r="N4" s="58" t="s">
        <v>149</v>
      </c>
    </row>
    <row r="5" spans="1:15" ht="16.5" customHeight="1" x14ac:dyDescent="0.25">
      <c r="A5" s="176">
        <v>0.65</v>
      </c>
      <c r="B5" s="73" t="s">
        <v>1</v>
      </c>
      <c r="C5" s="72">
        <v>2490.2600000000002</v>
      </c>
      <c r="D5" s="70">
        <v>0</v>
      </c>
      <c r="E5" s="72">
        <f>C5-D5</f>
        <v>2490.2600000000002</v>
      </c>
      <c r="F5" s="72">
        <f>C5*8%</f>
        <v>199.22080000000003</v>
      </c>
      <c r="G5" s="76"/>
      <c r="H5" s="76">
        <v>44475</v>
      </c>
      <c r="I5" s="244">
        <v>0</v>
      </c>
      <c r="J5" s="325" t="e">
        <f>#REF!+#REF!</f>
        <v>#REF!</v>
      </c>
      <c r="K5" s="391">
        <f>'RESUMO DE CÁLCULO'!B40</f>
        <v>0</v>
      </c>
      <c r="L5" s="72">
        <f t="shared" ref="L5:L16" si="0">SUM(E5)*K5</f>
        <v>0</v>
      </c>
      <c r="M5" s="71" t="s">
        <v>150</v>
      </c>
      <c r="N5" s="71" t="s">
        <v>152</v>
      </c>
    </row>
    <row r="6" spans="1:15" ht="16.5" customHeight="1" x14ac:dyDescent="0.25">
      <c r="A6" s="176">
        <v>0.65</v>
      </c>
      <c r="B6" s="73" t="s">
        <v>2</v>
      </c>
      <c r="C6" s="72">
        <v>2101.0100000000002</v>
      </c>
      <c r="D6" s="70">
        <v>0</v>
      </c>
      <c r="E6" s="72">
        <f t="shared" ref="E6:E16" si="1">C6-D6</f>
        <v>2101.0100000000002</v>
      </c>
      <c r="F6" s="72">
        <f t="shared" ref="F6:F16" si="2">C6*8%</f>
        <v>168.08080000000001</v>
      </c>
      <c r="G6" s="76"/>
      <c r="H6" s="74">
        <f>H5</f>
        <v>44475</v>
      </c>
      <c r="I6" s="244">
        <v>0</v>
      </c>
      <c r="J6" s="325" t="e">
        <f>#REF!+#REF!</f>
        <v>#REF!</v>
      </c>
      <c r="K6" s="391">
        <f>K5</f>
        <v>0</v>
      </c>
      <c r="L6" s="72">
        <f t="shared" si="0"/>
        <v>0</v>
      </c>
      <c r="M6" s="71" t="s">
        <v>150</v>
      </c>
      <c r="N6" s="71" t="s">
        <v>154</v>
      </c>
    </row>
    <row r="7" spans="1:15" ht="16.5" customHeight="1" x14ac:dyDescent="0.25">
      <c r="A7" s="176">
        <v>0.65</v>
      </c>
      <c r="B7" s="73" t="s">
        <v>3</v>
      </c>
      <c r="C7" s="72">
        <v>2715.58</v>
      </c>
      <c r="D7" s="70">
        <v>0</v>
      </c>
      <c r="E7" s="72">
        <f t="shared" si="1"/>
        <v>2715.58</v>
      </c>
      <c r="F7" s="72">
        <f t="shared" si="2"/>
        <v>217.24639999999999</v>
      </c>
      <c r="G7" s="311"/>
      <c r="H7" s="74">
        <f>H6</f>
        <v>44475</v>
      </c>
      <c r="I7" s="244">
        <v>0</v>
      </c>
      <c r="J7" s="325" t="e">
        <f>#REF!+#REF!</f>
        <v>#REF!</v>
      </c>
      <c r="K7" s="391">
        <f t="shared" ref="K7:K69" si="3">K6</f>
        <v>0</v>
      </c>
      <c r="L7" s="72">
        <f t="shared" si="0"/>
        <v>0</v>
      </c>
      <c r="M7" s="71" t="s">
        <v>150</v>
      </c>
      <c r="N7" s="71" t="s">
        <v>154</v>
      </c>
    </row>
    <row r="8" spans="1:15" ht="16.5" customHeight="1" x14ac:dyDescent="0.25">
      <c r="A8" s="176">
        <v>0.65</v>
      </c>
      <c r="B8" s="73" t="s">
        <v>5</v>
      </c>
      <c r="C8" s="72">
        <v>8680.7000000000007</v>
      </c>
      <c r="D8" s="70">
        <v>0</v>
      </c>
      <c r="E8" s="72">
        <f t="shared" si="1"/>
        <v>8680.7000000000007</v>
      </c>
      <c r="F8" s="72">
        <f t="shared" si="2"/>
        <v>694.45600000000002</v>
      </c>
      <c r="G8" s="311"/>
      <c r="H8" s="74">
        <f t="shared" ref="H8:H32" si="4">H7</f>
        <v>44475</v>
      </c>
      <c r="I8" s="244">
        <v>0</v>
      </c>
      <c r="J8" s="325" t="e">
        <f>#REF!+#REF!</f>
        <v>#REF!</v>
      </c>
      <c r="K8" s="391">
        <f t="shared" si="3"/>
        <v>0</v>
      </c>
      <c r="L8" s="72">
        <f t="shared" si="0"/>
        <v>0</v>
      </c>
      <c r="M8" s="71" t="s">
        <v>150</v>
      </c>
      <c r="N8" s="71" t="s">
        <v>152</v>
      </c>
    </row>
    <row r="9" spans="1:15" ht="16.5" customHeight="1" x14ac:dyDescent="0.25">
      <c r="A9" s="176">
        <v>0.65</v>
      </c>
      <c r="B9" s="73" t="s">
        <v>6</v>
      </c>
      <c r="C9" s="72">
        <v>3670.13</v>
      </c>
      <c r="D9" s="70">
        <v>0</v>
      </c>
      <c r="E9" s="72">
        <f t="shared" si="1"/>
        <v>3670.13</v>
      </c>
      <c r="F9" s="72">
        <f t="shared" si="2"/>
        <v>293.61040000000003</v>
      </c>
      <c r="G9" s="311"/>
      <c r="H9" s="74">
        <f t="shared" si="4"/>
        <v>44475</v>
      </c>
      <c r="I9" s="244">
        <v>0</v>
      </c>
      <c r="J9" s="325" t="e">
        <f>#REF!+#REF!</f>
        <v>#REF!</v>
      </c>
      <c r="K9" s="391">
        <f t="shared" si="3"/>
        <v>0</v>
      </c>
      <c r="L9" s="72">
        <f t="shared" si="0"/>
        <v>0</v>
      </c>
      <c r="M9" s="71" t="s">
        <v>150</v>
      </c>
      <c r="N9" s="71" t="s">
        <v>152</v>
      </c>
    </row>
    <row r="10" spans="1:15" ht="16.5" customHeight="1" x14ac:dyDescent="0.25">
      <c r="A10" s="176">
        <v>0.65</v>
      </c>
      <c r="B10" s="73" t="s">
        <v>7</v>
      </c>
      <c r="C10" s="72">
        <v>2528.8200000000002</v>
      </c>
      <c r="D10" s="70">
        <v>0</v>
      </c>
      <c r="E10" s="72">
        <f t="shared" si="1"/>
        <v>2528.8200000000002</v>
      </c>
      <c r="F10" s="72">
        <f t="shared" si="2"/>
        <v>202.30560000000003</v>
      </c>
      <c r="G10" s="311"/>
      <c r="H10" s="74">
        <f t="shared" si="4"/>
        <v>44475</v>
      </c>
      <c r="I10" s="244">
        <v>0</v>
      </c>
      <c r="J10" s="325" t="e">
        <f>#REF!+#REF!</f>
        <v>#REF!</v>
      </c>
      <c r="K10" s="391">
        <f t="shared" si="3"/>
        <v>0</v>
      </c>
      <c r="L10" s="72">
        <f t="shared" si="0"/>
        <v>0</v>
      </c>
      <c r="M10" s="71" t="s">
        <v>158</v>
      </c>
      <c r="N10" s="71" t="s">
        <v>152</v>
      </c>
    </row>
    <row r="11" spans="1:15" ht="16.5" customHeight="1" x14ac:dyDescent="0.25">
      <c r="A11" s="176">
        <v>0.65</v>
      </c>
      <c r="B11" s="73" t="s">
        <v>8</v>
      </c>
      <c r="C11" s="72">
        <v>4027.1</v>
      </c>
      <c r="D11" s="70">
        <v>0</v>
      </c>
      <c r="E11" s="72">
        <f t="shared" si="1"/>
        <v>4027.1</v>
      </c>
      <c r="F11" s="72">
        <f t="shared" si="2"/>
        <v>322.16800000000001</v>
      </c>
      <c r="G11" s="311"/>
      <c r="H11" s="74">
        <f t="shared" si="4"/>
        <v>44475</v>
      </c>
      <c r="I11" s="244">
        <v>0</v>
      </c>
      <c r="J11" s="325" t="e">
        <f>#REF!+#REF!</f>
        <v>#REF!</v>
      </c>
      <c r="K11" s="391">
        <f t="shared" si="3"/>
        <v>0</v>
      </c>
      <c r="L11" s="72">
        <f t="shared" si="0"/>
        <v>0</v>
      </c>
      <c r="M11" s="71" t="s">
        <v>150</v>
      </c>
      <c r="N11" s="71" t="s">
        <v>154</v>
      </c>
    </row>
    <row r="12" spans="1:15" ht="16.5" customHeight="1" x14ac:dyDescent="0.25">
      <c r="A12" s="176">
        <v>0.65</v>
      </c>
      <c r="B12" s="73" t="s">
        <v>9</v>
      </c>
      <c r="C12" s="72">
        <v>4184.4799999999996</v>
      </c>
      <c r="D12" s="70">
        <v>0</v>
      </c>
      <c r="E12" s="72">
        <f t="shared" si="1"/>
        <v>4184.4799999999996</v>
      </c>
      <c r="F12" s="72">
        <f t="shared" si="2"/>
        <v>334.75839999999999</v>
      </c>
      <c r="G12" s="311"/>
      <c r="H12" s="74">
        <f t="shared" si="4"/>
        <v>44475</v>
      </c>
      <c r="I12" s="244">
        <v>0</v>
      </c>
      <c r="J12" s="325" t="e">
        <f>#REF!+#REF!</f>
        <v>#REF!</v>
      </c>
      <c r="K12" s="391">
        <f t="shared" si="3"/>
        <v>0</v>
      </c>
      <c r="L12" s="72">
        <f t="shared" si="0"/>
        <v>0</v>
      </c>
      <c r="M12" s="71" t="s">
        <v>150</v>
      </c>
      <c r="N12" s="71" t="s">
        <v>154</v>
      </c>
    </row>
    <row r="13" spans="1:15" ht="16.5" customHeight="1" x14ac:dyDescent="0.25">
      <c r="A13" s="176">
        <v>0.65</v>
      </c>
      <c r="B13" s="73" t="s">
        <v>11</v>
      </c>
      <c r="C13" s="72">
        <v>2652.12</v>
      </c>
      <c r="D13" s="70">
        <v>0</v>
      </c>
      <c r="E13" s="72">
        <f t="shared" si="1"/>
        <v>2652.12</v>
      </c>
      <c r="F13" s="72">
        <f t="shared" si="2"/>
        <v>212.1696</v>
      </c>
      <c r="G13" s="76"/>
      <c r="H13" s="74">
        <f t="shared" si="4"/>
        <v>44475</v>
      </c>
      <c r="I13" s="244">
        <v>0</v>
      </c>
      <c r="J13" s="325" t="e">
        <f>#REF!+#REF!</f>
        <v>#REF!</v>
      </c>
      <c r="K13" s="391">
        <f t="shared" si="3"/>
        <v>0</v>
      </c>
      <c r="L13" s="72">
        <f t="shared" si="0"/>
        <v>0</v>
      </c>
      <c r="M13" s="71" t="s">
        <v>150</v>
      </c>
      <c r="N13" s="71" t="s">
        <v>154</v>
      </c>
    </row>
    <row r="14" spans="1:15" ht="16.5" customHeight="1" x14ac:dyDescent="0.25">
      <c r="A14" s="176">
        <v>0.65</v>
      </c>
      <c r="B14" s="73" t="s">
        <v>12</v>
      </c>
      <c r="C14" s="72">
        <v>1316.51</v>
      </c>
      <c r="D14" s="70">
        <v>0</v>
      </c>
      <c r="E14" s="72">
        <f t="shared" si="1"/>
        <v>1316.51</v>
      </c>
      <c r="F14" s="72">
        <f t="shared" si="2"/>
        <v>105.32080000000001</v>
      </c>
      <c r="G14" s="76"/>
      <c r="H14" s="74">
        <f t="shared" si="4"/>
        <v>44475</v>
      </c>
      <c r="I14" s="244">
        <v>0</v>
      </c>
      <c r="J14" s="325" t="e">
        <f>#REF!+#REF!</f>
        <v>#REF!</v>
      </c>
      <c r="K14" s="391">
        <f t="shared" si="3"/>
        <v>0</v>
      </c>
      <c r="L14" s="72">
        <f t="shared" si="0"/>
        <v>0</v>
      </c>
      <c r="M14" s="71" t="s">
        <v>158</v>
      </c>
      <c r="N14" s="71" t="s">
        <v>152</v>
      </c>
      <c r="O14" s="219" t="s">
        <v>196</v>
      </c>
    </row>
    <row r="15" spans="1:15" ht="16.5" customHeight="1" x14ac:dyDescent="0.25">
      <c r="A15" s="176">
        <v>0.65</v>
      </c>
      <c r="B15" s="73" t="s">
        <v>13</v>
      </c>
      <c r="C15" s="72">
        <v>1770.89</v>
      </c>
      <c r="D15" s="70">
        <v>0</v>
      </c>
      <c r="E15" s="72">
        <f t="shared" si="1"/>
        <v>1770.89</v>
      </c>
      <c r="F15" s="72">
        <f t="shared" si="2"/>
        <v>141.6712</v>
      </c>
      <c r="G15" s="76"/>
      <c r="H15" s="74">
        <f t="shared" si="4"/>
        <v>44475</v>
      </c>
      <c r="I15" s="244">
        <v>0</v>
      </c>
      <c r="J15" s="325" t="e">
        <f>#REF!+#REF!</f>
        <v>#REF!</v>
      </c>
      <c r="K15" s="391">
        <f t="shared" si="3"/>
        <v>0</v>
      </c>
      <c r="L15" s="72">
        <f t="shared" si="0"/>
        <v>0</v>
      </c>
      <c r="M15" s="71" t="s">
        <v>158</v>
      </c>
      <c r="N15" s="71" t="s">
        <v>152</v>
      </c>
      <c r="O15" s="219" t="s">
        <v>196</v>
      </c>
    </row>
    <row r="16" spans="1:15" ht="16.5" customHeight="1" x14ac:dyDescent="0.25">
      <c r="A16" s="176">
        <v>0.65</v>
      </c>
      <c r="B16" s="73" t="s">
        <v>104</v>
      </c>
      <c r="C16" s="72">
        <v>2288.9299999999998</v>
      </c>
      <c r="D16" s="70">
        <v>0</v>
      </c>
      <c r="E16" s="72">
        <f t="shared" si="1"/>
        <v>2288.9299999999998</v>
      </c>
      <c r="F16" s="72">
        <f t="shared" si="2"/>
        <v>183.11439999999999</v>
      </c>
      <c r="G16" s="76"/>
      <c r="H16" s="74">
        <f t="shared" si="4"/>
        <v>44475</v>
      </c>
      <c r="I16" s="244">
        <v>0</v>
      </c>
      <c r="J16" s="325" t="e">
        <f>#REF!+#REF!</f>
        <v>#REF!</v>
      </c>
      <c r="K16" s="391">
        <f t="shared" si="3"/>
        <v>0</v>
      </c>
      <c r="L16" s="72">
        <f t="shared" si="0"/>
        <v>0</v>
      </c>
      <c r="M16" s="71" t="s">
        <v>150</v>
      </c>
      <c r="N16" s="71" t="s">
        <v>152</v>
      </c>
      <c r="O16" s="219" t="s">
        <v>196</v>
      </c>
    </row>
    <row r="17" spans="1:15" ht="16.5" customHeight="1" x14ac:dyDescent="0.25">
      <c r="A17" s="190"/>
      <c r="B17" s="312" t="s">
        <v>156</v>
      </c>
      <c r="C17" s="312">
        <f>SUM(C5:C16)</f>
        <v>38426.53</v>
      </c>
      <c r="D17" s="181">
        <f>SUM(D5:D16)</f>
        <v>0</v>
      </c>
      <c r="E17" s="317">
        <f>SUM(E5:E16)</f>
        <v>38426.53</v>
      </c>
      <c r="F17" s="181">
        <f>SUM(F5:F16)</f>
        <v>3074.1224000000007</v>
      </c>
      <c r="G17" s="181"/>
      <c r="H17" s="251"/>
      <c r="I17" s="181"/>
      <c r="J17" s="181" t="e">
        <f>#REF!+#REF!</f>
        <v>#REF!</v>
      </c>
      <c r="K17" s="392"/>
      <c r="L17" s="317">
        <f>SUM(L5:L16)</f>
        <v>0</v>
      </c>
      <c r="M17" s="71" t="s">
        <v>158</v>
      </c>
      <c r="N17" s="71" t="s">
        <v>151</v>
      </c>
    </row>
    <row r="18" spans="1:15" ht="16.5" customHeight="1" x14ac:dyDescent="0.25">
      <c r="A18" s="176">
        <v>0.8</v>
      </c>
      <c r="B18" s="73" t="s">
        <v>19</v>
      </c>
      <c r="C18" s="72">
        <v>2737.19</v>
      </c>
      <c r="D18" s="70">
        <v>0</v>
      </c>
      <c r="E18" s="72">
        <f>C18-D18</f>
        <v>2737.19</v>
      </c>
      <c r="F18" s="72">
        <f>C18*8%</f>
        <v>218.9752</v>
      </c>
      <c r="G18" s="76"/>
      <c r="H18" s="74">
        <f>H16</f>
        <v>44475</v>
      </c>
      <c r="I18" s="232">
        <v>0</v>
      </c>
      <c r="J18" s="325" t="e">
        <f>#REF!+#REF!</f>
        <v>#REF!</v>
      </c>
      <c r="K18" s="391">
        <f>K16</f>
        <v>0</v>
      </c>
      <c r="L18" s="72">
        <f t="shared" ref="L18:L32" si="5">SUM(E18)*K18</f>
        <v>0</v>
      </c>
      <c r="M18" s="71" t="s">
        <v>150</v>
      </c>
      <c r="N18" s="71" t="s">
        <v>152</v>
      </c>
    </row>
    <row r="19" spans="1:15" ht="16.5" customHeight="1" x14ac:dyDescent="0.25">
      <c r="A19" s="176">
        <v>0.8</v>
      </c>
      <c r="B19" s="73" t="s">
        <v>20</v>
      </c>
      <c r="C19" s="72">
        <v>2918.33</v>
      </c>
      <c r="D19" s="70">
        <v>0</v>
      </c>
      <c r="E19" s="72">
        <f t="shared" ref="E19:E32" si="6">C19-D19</f>
        <v>2918.33</v>
      </c>
      <c r="F19" s="72">
        <f t="shared" ref="F19:F32" si="7">C19*8%</f>
        <v>233.46639999999999</v>
      </c>
      <c r="G19" s="76"/>
      <c r="H19" s="74">
        <f t="shared" si="4"/>
        <v>44475</v>
      </c>
      <c r="I19" s="232">
        <v>0</v>
      </c>
      <c r="J19" s="325" t="e">
        <f>#REF!+#REF!</f>
        <v>#REF!</v>
      </c>
      <c r="K19" s="391">
        <f t="shared" si="3"/>
        <v>0</v>
      </c>
      <c r="L19" s="72">
        <f t="shared" si="5"/>
        <v>0</v>
      </c>
      <c r="M19" s="71" t="s">
        <v>158</v>
      </c>
      <c r="N19" s="71" t="s">
        <v>151</v>
      </c>
    </row>
    <row r="20" spans="1:15" ht="16.5" customHeight="1" x14ac:dyDescent="0.25">
      <c r="A20" s="176">
        <v>0.8</v>
      </c>
      <c r="B20" s="73" t="s">
        <v>21</v>
      </c>
      <c r="C20" s="72">
        <v>572.1</v>
      </c>
      <c r="D20" s="70">
        <v>457.68</v>
      </c>
      <c r="E20" s="72">
        <f t="shared" si="6"/>
        <v>114.42000000000002</v>
      </c>
      <c r="F20" s="72">
        <f t="shared" si="7"/>
        <v>45.768000000000001</v>
      </c>
      <c r="G20" s="311">
        <v>44477</v>
      </c>
      <c r="H20" s="74">
        <f t="shared" si="4"/>
        <v>44475</v>
      </c>
      <c r="I20" s="232">
        <f t="shared" ref="I20:I28" si="8">G20-H20</f>
        <v>2</v>
      </c>
      <c r="J20" s="325" t="e">
        <f>#REF!+#REF!</f>
        <v>#REF!</v>
      </c>
      <c r="K20" s="391">
        <f t="shared" si="3"/>
        <v>0</v>
      </c>
      <c r="L20" s="72">
        <f t="shared" si="5"/>
        <v>0</v>
      </c>
      <c r="M20" s="71" t="s">
        <v>150</v>
      </c>
      <c r="N20" s="71" t="s">
        <v>154</v>
      </c>
    </row>
    <row r="21" spans="1:15" ht="16.5" customHeight="1" x14ac:dyDescent="0.25">
      <c r="A21" s="176">
        <v>0.8</v>
      </c>
      <c r="B21" s="73" t="s">
        <v>22</v>
      </c>
      <c r="C21" s="72">
        <v>3724.99</v>
      </c>
      <c r="D21" s="70">
        <v>0</v>
      </c>
      <c r="E21" s="72">
        <f t="shared" si="6"/>
        <v>3724.99</v>
      </c>
      <c r="F21" s="72">
        <f t="shared" si="7"/>
        <v>297.99919999999997</v>
      </c>
      <c r="G21" s="311"/>
      <c r="H21" s="74">
        <f t="shared" si="4"/>
        <v>44475</v>
      </c>
      <c r="I21" s="232">
        <v>0</v>
      </c>
      <c r="J21" s="325" t="e">
        <f>#REF!+#REF!</f>
        <v>#REF!</v>
      </c>
      <c r="K21" s="391">
        <f t="shared" si="3"/>
        <v>0</v>
      </c>
      <c r="L21" s="72">
        <f t="shared" si="5"/>
        <v>0</v>
      </c>
      <c r="M21" s="71" t="s">
        <v>158</v>
      </c>
      <c r="N21" s="71" t="s">
        <v>159</v>
      </c>
      <c r="O21" s="165"/>
    </row>
    <row r="22" spans="1:15" ht="16.5" customHeight="1" x14ac:dyDescent="0.25">
      <c r="A22" s="176">
        <v>0.8</v>
      </c>
      <c r="B22" s="73" t="s">
        <v>23</v>
      </c>
      <c r="C22" s="72">
        <v>4519.8</v>
      </c>
      <c r="D22" s="70">
        <v>0</v>
      </c>
      <c r="E22" s="72">
        <f t="shared" si="6"/>
        <v>4519.8</v>
      </c>
      <c r="F22" s="72">
        <f t="shared" si="7"/>
        <v>361.584</v>
      </c>
      <c r="G22" s="311"/>
      <c r="H22" s="74">
        <f t="shared" si="4"/>
        <v>44475</v>
      </c>
      <c r="I22" s="232">
        <v>0</v>
      </c>
      <c r="J22" s="325" t="e">
        <f>#REF!+#REF!</f>
        <v>#REF!</v>
      </c>
      <c r="K22" s="391">
        <f t="shared" si="3"/>
        <v>0</v>
      </c>
      <c r="L22" s="72">
        <f t="shared" si="5"/>
        <v>0</v>
      </c>
      <c r="M22" s="71" t="s">
        <v>158</v>
      </c>
      <c r="N22" s="71" t="s">
        <v>152</v>
      </c>
    </row>
    <row r="23" spans="1:15" ht="16.5" customHeight="1" x14ac:dyDescent="0.25">
      <c r="A23" s="176">
        <v>0.8</v>
      </c>
      <c r="B23" s="73" t="s">
        <v>24</v>
      </c>
      <c r="C23" s="72">
        <v>824.58</v>
      </c>
      <c r="D23" s="70">
        <v>0</v>
      </c>
      <c r="E23" s="72">
        <f t="shared" si="6"/>
        <v>824.58</v>
      </c>
      <c r="F23" s="72">
        <f t="shared" si="7"/>
        <v>65.966400000000007</v>
      </c>
      <c r="G23" s="311"/>
      <c r="H23" s="74">
        <f t="shared" si="4"/>
        <v>44475</v>
      </c>
      <c r="I23" s="232">
        <v>0</v>
      </c>
      <c r="J23" s="325" t="e">
        <f>#REF!+#REF!</f>
        <v>#REF!</v>
      </c>
      <c r="K23" s="391">
        <f t="shared" si="3"/>
        <v>0</v>
      </c>
      <c r="L23" s="72">
        <f t="shared" si="5"/>
        <v>0</v>
      </c>
      <c r="M23" s="71" t="s">
        <v>158</v>
      </c>
      <c r="N23" s="71" t="s">
        <v>152</v>
      </c>
    </row>
    <row r="24" spans="1:15" ht="16.5" customHeight="1" x14ac:dyDescent="0.25">
      <c r="A24" s="176">
        <v>0.8</v>
      </c>
      <c r="B24" s="73" t="s">
        <v>25</v>
      </c>
      <c r="C24" s="72">
        <v>8064.92</v>
      </c>
      <c r="D24" s="70">
        <v>0</v>
      </c>
      <c r="E24" s="72">
        <f t="shared" si="6"/>
        <v>8064.92</v>
      </c>
      <c r="F24" s="72">
        <f t="shared" si="7"/>
        <v>645.19360000000006</v>
      </c>
      <c r="G24" s="311"/>
      <c r="H24" s="74">
        <f t="shared" si="4"/>
        <v>44475</v>
      </c>
      <c r="I24" s="232">
        <v>0</v>
      </c>
      <c r="J24" s="325" t="e">
        <f>#REF!+#REF!</f>
        <v>#REF!</v>
      </c>
      <c r="K24" s="391">
        <f t="shared" si="3"/>
        <v>0</v>
      </c>
      <c r="L24" s="72">
        <f t="shared" si="5"/>
        <v>0</v>
      </c>
      <c r="M24" s="71" t="s">
        <v>150</v>
      </c>
      <c r="N24" s="71" t="s">
        <v>154</v>
      </c>
    </row>
    <row r="25" spans="1:15" ht="16.5" customHeight="1" x14ac:dyDescent="0.25">
      <c r="A25" s="176">
        <v>0.8</v>
      </c>
      <c r="B25" s="73" t="s">
        <v>60</v>
      </c>
      <c r="C25" s="72">
        <v>284.58999999999997</v>
      </c>
      <c r="D25" s="70">
        <v>227.67</v>
      </c>
      <c r="E25" s="72">
        <f t="shared" si="6"/>
        <v>56.919999999999987</v>
      </c>
      <c r="F25" s="72">
        <f t="shared" si="7"/>
        <v>22.767199999999999</v>
      </c>
      <c r="G25" s="311">
        <v>44477</v>
      </c>
      <c r="H25" s="74">
        <f t="shared" si="4"/>
        <v>44475</v>
      </c>
      <c r="I25" s="232">
        <f t="shared" si="8"/>
        <v>2</v>
      </c>
      <c r="J25" s="325" t="e">
        <f>#REF!+#REF!</f>
        <v>#REF!</v>
      </c>
      <c r="K25" s="391">
        <f t="shared" si="3"/>
        <v>0</v>
      </c>
      <c r="L25" s="72">
        <f t="shared" si="5"/>
        <v>0</v>
      </c>
      <c r="M25" s="71" t="s">
        <v>150</v>
      </c>
      <c r="N25" s="71" t="s">
        <v>152</v>
      </c>
      <c r="O25" s="219"/>
    </row>
    <row r="26" spans="1:15" ht="16.5" customHeight="1" x14ac:dyDescent="0.25">
      <c r="A26" s="176">
        <v>0.8</v>
      </c>
      <c r="B26" s="73" t="s">
        <v>26</v>
      </c>
      <c r="C26" s="72">
        <v>6296.45</v>
      </c>
      <c r="D26" s="70">
        <v>0</v>
      </c>
      <c r="E26" s="72">
        <f t="shared" si="6"/>
        <v>6296.45</v>
      </c>
      <c r="F26" s="72">
        <f t="shared" si="7"/>
        <v>503.71600000000001</v>
      </c>
      <c r="G26" s="311"/>
      <c r="H26" s="74">
        <f t="shared" si="4"/>
        <v>44475</v>
      </c>
      <c r="I26" s="232">
        <v>0</v>
      </c>
      <c r="J26" s="325" t="e">
        <f>#REF!+#REF!</f>
        <v>#REF!</v>
      </c>
      <c r="K26" s="391">
        <f t="shared" si="3"/>
        <v>0</v>
      </c>
      <c r="L26" s="72">
        <f t="shared" si="5"/>
        <v>0</v>
      </c>
      <c r="M26" s="71" t="s">
        <v>158</v>
      </c>
      <c r="N26" s="71" t="s">
        <v>151</v>
      </c>
    </row>
    <row r="27" spans="1:15" ht="16.5" customHeight="1" x14ac:dyDescent="0.25">
      <c r="A27" s="176">
        <v>0.8</v>
      </c>
      <c r="B27" s="73" t="s">
        <v>27</v>
      </c>
      <c r="C27" s="72">
        <v>3355.69</v>
      </c>
      <c r="D27" s="70">
        <v>0</v>
      </c>
      <c r="E27" s="72">
        <f t="shared" si="6"/>
        <v>3355.69</v>
      </c>
      <c r="F27" s="72">
        <f t="shared" si="7"/>
        <v>268.45519999999999</v>
      </c>
      <c r="G27" s="311"/>
      <c r="H27" s="74">
        <f t="shared" si="4"/>
        <v>44475</v>
      </c>
      <c r="I27" s="232">
        <v>0</v>
      </c>
      <c r="J27" s="325" t="e">
        <f>#REF!+#REF!</f>
        <v>#REF!</v>
      </c>
      <c r="K27" s="391">
        <f t="shared" si="3"/>
        <v>0</v>
      </c>
      <c r="L27" s="72">
        <f t="shared" si="5"/>
        <v>0</v>
      </c>
      <c r="M27" s="71" t="s">
        <v>150</v>
      </c>
      <c r="N27" s="71" t="s">
        <v>154</v>
      </c>
    </row>
    <row r="28" spans="1:15" ht="16.5" customHeight="1" x14ac:dyDescent="0.25">
      <c r="A28" s="176">
        <v>0.8</v>
      </c>
      <c r="B28" s="73" t="s">
        <v>28</v>
      </c>
      <c r="C28" s="72">
        <v>497.09</v>
      </c>
      <c r="D28" s="70">
        <v>397.67</v>
      </c>
      <c r="E28" s="72">
        <f t="shared" si="6"/>
        <v>99.419999999999959</v>
      </c>
      <c r="F28" s="72">
        <f t="shared" si="7"/>
        <v>39.767199999999995</v>
      </c>
      <c r="G28" s="311">
        <v>44483</v>
      </c>
      <c r="H28" s="74">
        <f t="shared" si="4"/>
        <v>44475</v>
      </c>
      <c r="I28" s="232">
        <f t="shared" si="8"/>
        <v>8</v>
      </c>
      <c r="J28" s="325" t="e">
        <f>#REF!+#REF!</f>
        <v>#REF!</v>
      </c>
      <c r="K28" s="391">
        <f t="shared" si="3"/>
        <v>0</v>
      </c>
      <c r="L28" s="72">
        <f t="shared" si="5"/>
        <v>0</v>
      </c>
      <c r="M28" s="71" t="s">
        <v>150</v>
      </c>
      <c r="N28" s="71" t="s">
        <v>154</v>
      </c>
    </row>
    <row r="29" spans="1:15" ht="16.5" customHeight="1" x14ac:dyDescent="0.25">
      <c r="A29" s="176">
        <v>0.8</v>
      </c>
      <c r="B29" s="73" t="s">
        <v>29</v>
      </c>
      <c r="C29" s="72">
        <v>2389.0500000000002</v>
      </c>
      <c r="D29" s="70">
        <v>0</v>
      </c>
      <c r="E29" s="72">
        <f t="shared" si="6"/>
        <v>2389.0500000000002</v>
      </c>
      <c r="F29" s="72">
        <f t="shared" si="7"/>
        <v>191.12400000000002</v>
      </c>
      <c r="G29" s="311"/>
      <c r="H29" s="74">
        <f t="shared" si="4"/>
        <v>44475</v>
      </c>
      <c r="I29" s="232">
        <v>0</v>
      </c>
      <c r="J29" s="325" t="e">
        <f>#REF!+#REF!</f>
        <v>#REF!</v>
      </c>
      <c r="K29" s="391">
        <f t="shared" si="3"/>
        <v>0</v>
      </c>
      <c r="L29" s="72">
        <f t="shared" si="5"/>
        <v>0</v>
      </c>
      <c r="M29" s="71" t="s">
        <v>150</v>
      </c>
      <c r="N29" s="71" t="s">
        <v>154</v>
      </c>
    </row>
    <row r="30" spans="1:15" ht="16.5" customHeight="1" x14ac:dyDescent="0.25">
      <c r="A30" s="176">
        <v>0.8</v>
      </c>
      <c r="B30" s="73" t="s">
        <v>30</v>
      </c>
      <c r="C30" s="72">
        <v>4189.79</v>
      </c>
      <c r="D30" s="70">
        <v>0</v>
      </c>
      <c r="E30" s="72">
        <f t="shared" si="6"/>
        <v>4189.79</v>
      </c>
      <c r="F30" s="72">
        <f t="shared" si="7"/>
        <v>335.1832</v>
      </c>
      <c r="G30" s="311"/>
      <c r="H30" s="74">
        <f t="shared" si="4"/>
        <v>44475</v>
      </c>
      <c r="I30" s="232">
        <v>0</v>
      </c>
      <c r="J30" s="325" t="e">
        <f>#REF!+#REF!</f>
        <v>#REF!</v>
      </c>
      <c r="K30" s="391">
        <f t="shared" si="3"/>
        <v>0</v>
      </c>
      <c r="L30" s="72">
        <f t="shared" si="5"/>
        <v>0</v>
      </c>
      <c r="M30" s="71" t="s">
        <v>158</v>
      </c>
      <c r="N30" s="71" t="s">
        <v>151</v>
      </c>
      <c r="O30" s="219" t="s">
        <v>196</v>
      </c>
    </row>
    <row r="31" spans="1:15" ht="16.5" customHeight="1" x14ac:dyDescent="0.25">
      <c r="A31" s="176">
        <v>0.8</v>
      </c>
      <c r="B31" s="73" t="s">
        <v>31</v>
      </c>
      <c r="C31" s="72">
        <v>3586.72</v>
      </c>
      <c r="D31" s="70">
        <v>0</v>
      </c>
      <c r="E31" s="72">
        <f t="shared" si="6"/>
        <v>3586.72</v>
      </c>
      <c r="F31" s="72">
        <f t="shared" si="7"/>
        <v>286.93759999999997</v>
      </c>
      <c r="G31" s="311"/>
      <c r="H31" s="74">
        <f t="shared" si="4"/>
        <v>44475</v>
      </c>
      <c r="I31" s="232">
        <v>0</v>
      </c>
      <c r="J31" s="325" t="e">
        <f>#REF!+#REF!</f>
        <v>#REF!</v>
      </c>
      <c r="K31" s="391">
        <f t="shared" si="3"/>
        <v>0</v>
      </c>
      <c r="L31" s="72">
        <f t="shared" si="5"/>
        <v>0</v>
      </c>
      <c r="M31" s="71" t="s">
        <v>158</v>
      </c>
      <c r="N31" s="71" t="s">
        <v>151</v>
      </c>
      <c r="O31" s="219" t="s">
        <v>196</v>
      </c>
    </row>
    <row r="32" spans="1:15" ht="16.5" customHeight="1" x14ac:dyDescent="0.25">
      <c r="A32" s="176">
        <v>0.8</v>
      </c>
      <c r="B32" s="73" t="s">
        <v>32</v>
      </c>
      <c r="C32" s="72">
        <v>1866.28</v>
      </c>
      <c r="D32" s="70">
        <v>0</v>
      </c>
      <c r="E32" s="72">
        <f t="shared" si="6"/>
        <v>1866.28</v>
      </c>
      <c r="F32" s="72">
        <f t="shared" si="7"/>
        <v>149.30240000000001</v>
      </c>
      <c r="G32" s="311"/>
      <c r="H32" s="74">
        <f t="shared" si="4"/>
        <v>44475</v>
      </c>
      <c r="I32" s="232">
        <v>0</v>
      </c>
      <c r="J32" s="325" t="e">
        <f>#REF!+#REF!</f>
        <v>#REF!</v>
      </c>
      <c r="K32" s="391">
        <f t="shared" si="3"/>
        <v>0</v>
      </c>
      <c r="L32" s="72">
        <f t="shared" si="5"/>
        <v>0</v>
      </c>
      <c r="M32" s="71" t="s">
        <v>150</v>
      </c>
      <c r="N32" s="71" t="s">
        <v>154</v>
      </c>
    </row>
    <row r="33" spans="1:14" ht="16.5" customHeight="1" x14ac:dyDescent="0.25">
      <c r="A33" s="190"/>
      <c r="B33" s="314" t="s">
        <v>160</v>
      </c>
      <c r="C33" s="314">
        <f>SUM(C18:C32)</f>
        <v>45827.57</v>
      </c>
      <c r="D33" s="314">
        <f>SUM(D18:D32)</f>
        <v>1083.02</v>
      </c>
      <c r="E33" s="327">
        <f>SUM(E18:E32)</f>
        <v>44744.549999999996</v>
      </c>
      <c r="F33" s="314">
        <f>SUM(F18:F32)</f>
        <v>3666.2055999999998</v>
      </c>
      <c r="G33" s="315"/>
      <c r="H33" s="323"/>
      <c r="I33" s="315"/>
      <c r="J33" s="326" t="e">
        <f>#REF!+#REF!</f>
        <v>#REF!</v>
      </c>
      <c r="K33" s="392"/>
      <c r="L33" s="317">
        <f>SUM(L18:L32)</f>
        <v>0</v>
      </c>
      <c r="M33" s="71" t="s">
        <v>150</v>
      </c>
      <c r="N33" s="71" t="s">
        <v>152</v>
      </c>
    </row>
    <row r="34" spans="1:14" ht="16.5" customHeight="1" x14ac:dyDescent="0.25">
      <c r="A34" s="313"/>
      <c r="B34" s="73" t="s">
        <v>33</v>
      </c>
      <c r="C34" s="72">
        <v>2338.85</v>
      </c>
      <c r="D34" s="70">
        <v>0</v>
      </c>
      <c r="E34" s="72">
        <f>C34-D34</f>
        <v>2338.85</v>
      </c>
      <c r="F34" s="70">
        <f>C34*8%</f>
        <v>187.108</v>
      </c>
      <c r="G34" s="311"/>
      <c r="H34" s="74">
        <v>44475</v>
      </c>
      <c r="I34" s="324">
        <v>0</v>
      </c>
      <c r="J34" s="325" t="e">
        <f>#REF!+#REF!</f>
        <v>#REF!</v>
      </c>
      <c r="K34" s="391">
        <f>K32</f>
        <v>0</v>
      </c>
      <c r="L34" s="72">
        <f t="shared" ref="L34:L64" si="9">SUM(E34)*K34</f>
        <v>0</v>
      </c>
      <c r="M34" s="71"/>
      <c r="N34" s="71"/>
    </row>
    <row r="35" spans="1:14" ht="16.5" customHeight="1" x14ac:dyDescent="0.25">
      <c r="A35" s="313"/>
      <c r="B35" s="73" t="s">
        <v>34</v>
      </c>
      <c r="C35" s="72">
        <v>1443.48</v>
      </c>
      <c r="D35" s="70">
        <v>0</v>
      </c>
      <c r="E35" s="72">
        <f t="shared" ref="E35:E95" si="10">C35-D35</f>
        <v>1443.48</v>
      </c>
      <c r="F35" s="70">
        <f t="shared" ref="F35:F95" si="11">C35*8%</f>
        <v>115.47840000000001</v>
      </c>
      <c r="G35" s="311"/>
      <c r="H35" s="74">
        <f>H34</f>
        <v>44475</v>
      </c>
      <c r="I35" s="324">
        <v>0</v>
      </c>
      <c r="J35" s="325" t="e">
        <f>#REF!+#REF!</f>
        <v>#REF!</v>
      </c>
      <c r="K35" s="391">
        <f t="shared" si="3"/>
        <v>0</v>
      </c>
      <c r="L35" s="72">
        <f t="shared" si="9"/>
        <v>0</v>
      </c>
      <c r="M35" s="71"/>
      <c r="N35" s="71"/>
    </row>
    <row r="36" spans="1:14" ht="16.5" customHeight="1" x14ac:dyDescent="0.25">
      <c r="A36" s="313"/>
      <c r="B36" s="73" t="s">
        <v>16</v>
      </c>
      <c r="C36" s="72">
        <v>4.33</v>
      </c>
      <c r="D36" s="70">
        <v>4.33</v>
      </c>
      <c r="E36" s="72">
        <f t="shared" si="10"/>
        <v>0</v>
      </c>
      <c r="F36" s="70">
        <f t="shared" si="11"/>
        <v>0.34639999999999999</v>
      </c>
      <c r="G36" s="311">
        <v>44477</v>
      </c>
      <c r="H36" s="74">
        <f t="shared" ref="H36:H96" si="12">H34</f>
        <v>44475</v>
      </c>
      <c r="I36" s="324">
        <f t="shared" ref="I36:I93" si="13">G36-H36</f>
        <v>2</v>
      </c>
      <c r="J36" s="325" t="e">
        <f>#REF!+#REF!</f>
        <v>#REF!</v>
      </c>
      <c r="K36" s="391">
        <f t="shared" si="3"/>
        <v>0</v>
      </c>
      <c r="L36" s="72">
        <f t="shared" si="9"/>
        <v>0</v>
      </c>
      <c r="M36" s="71"/>
      <c r="N36" s="71"/>
    </row>
    <row r="37" spans="1:14" ht="16.5" customHeight="1" x14ac:dyDescent="0.25">
      <c r="A37" s="313"/>
      <c r="B37" s="73" t="s">
        <v>35</v>
      </c>
      <c r="C37" s="72">
        <v>102.54</v>
      </c>
      <c r="D37" s="70">
        <v>102.54</v>
      </c>
      <c r="E37" s="72">
        <f t="shared" si="10"/>
        <v>0</v>
      </c>
      <c r="F37" s="70">
        <f t="shared" si="11"/>
        <v>8.2032000000000007</v>
      </c>
      <c r="G37" s="311">
        <v>44477</v>
      </c>
      <c r="H37" s="74">
        <f t="shared" si="12"/>
        <v>44475</v>
      </c>
      <c r="I37" s="324">
        <f t="shared" si="13"/>
        <v>2</v>
      </c>
      <c r="J37" s="325" t="e">
        <f>#REF!+#REF!</f>
        <v>#REF!</v>
      </c>
      <c r="K37" s="391">
        <f t="shared" si="3"/>
        <v>0</v>
      </c>
      <c r="L37" s="72">
        <f t="shared" si="9"/>
        <v>0</v>
      </c>
      <c r="M37" s="71"/>
      <c r="N37" s="71"/>
    </row>
    <row r="38" spans="1:14" ht="16.5" customHeight="1" x14ac:dyDescent="0.25">
      <c r="A38" s="313"/>
      <c r="B38" s="73" t="s">
        <v>219</v>
      </c>
      <c r="C38" s="72">
        <v>822.11</v>
      </c>
      <c r="D38" s="70">
        <v>822.11</v>
      </c>
      <c r="E38" s="72">
        <f t="shared" si="10"/>
        <v>0</v>
      </c>
      <c r="F38" s="70">
        <f t="shared" si="11"/>
        <v>65.768799999999999</v>
      </c>
      <c r="G38" s="311">
        <v>44477</v>
      </c>
      <c r="H38" s="74">
        <f t="shared" si="12"/>
        <v>44475</v>
      </c>
      <c r="I38" s="324">
        <f t="shared" si="13"/>
        <v>2</v>
      </c>
      <c r="J38" s="325" t="e">
        <f>#REF!+#REF!</f>
        <v>#REF!</v>
      </c>
      <c r="K38" s="391">
        <f t="shared" si="3"/>
        <v>0</v>
      </c>
      <c r="L38" s="72">
        <f t="shared" si="9"/>
        <v>0</v>
      </c>
      <c r="M38" s="71"/>
      <c r="N38" s="71"/>
    </row>
    <row r="39" spans="1:14" ht="16.5" customHeight="1" x14ac:dyDescent="0.25">
      <c r="A39" s="313"/>
      <c r="B39" s="73" t="s">
        <v>37</v>
      </c>
      <c r="C39" s="72">
        <v>1700.68</v>
      </c>
      <c r="D39" s="70">
        <v>0</v>
      </c>
      <c r="E39" s="72">
        <f t="shared" si="10"/>
        <v>1700.68</v>
      </c>
      <c r="F39" s="70">
        <f t="shared" si="11"/>
        <v>136.05440000000002</v>
      </c>
      <c r="G39" s="311"/>
      <c r="H39" s="74">
        <f t="shared" si="12"/>
        <v>44475</v>
      </c>
      <c r="I39" s="324">
        <v>0</v>
      </c>
      <c r="J39" s="325" t="e">
        <f>#REF!+#REF!</f>
        <v>#REF!</v>
      </c>
      <c r="K39" s="391">
        <f t="shared" si="3"/>
        <v>0</v>
      </c>
      <c r="L39" s="72">
        <f t="shared" si="9"/>
        <v>0</v>
      </c>
      <c r="M39" s="71"/>
      <c r="N39" s="71"/>
    </row>
    <row r="40" spans="1:14" ht="16.5" customHeight="1" x14ac:dyDescent="0.25">
      <c r="A40" s="313"/>
      <c r="B40" s="73" t="s">
        <v>105</v>
      </c>
      <c r="C40" s="72">
        <v>238.63</v>
      </c>
      <c r="D40" s="70">
        <v>238.63</v>
      </c>
      <c r="E40" s="72">
        <f t="shared" si="10"/>
        <v>0</v>
      </c>
      <c r="F40" s="70">
        <f t="shared" si="11"/>
        <v>19.090399999999999</v>
      </c>
      <c r="G40" s="311">
        <v>44477</v>
      </c>
      <c r="H40" s="74">
        <f t="shared" si="12"/>
        <v>44475</v>
      </c>
      <c r="I40" s="324">
        <f t="shared" si="13"/>
        <v>2</v>
      </c>
      <c r="J40" s="325" t="e">
        <f>#REF!+#REF!</f>
        <v>#REF!</v>
      </c>
      <c r="K40" s="391">
        <f t="shared" si="3"/>
        <v>0</v>
      </c>
      <c r="L40" s="72">
        <f t="shared" si="9"/>
        <v>0</v>
      </c>
      <c r="M40" s="71"/>
      <c r="N40" s="71"/>
    </row>
    <row r="41" spans="1:14" ht="16.5" customHeight="1" x14ac:dyDescent="0.25">
      <c r="A41" s="313"/>
      <c r="B41" s="73" t="s">
        <v>38</v>
      </c>
      <c r="C41" s="72">
        <v>3604.2</v>
      </c>
      <c r="D41" s="70">
        <v>0</v>
      </c>
      <c r="E41" s="72">
        <f t="shared" si="10"/>
        <v>3604.2</v>
      </c>
      <c r="F41" s="70">
        <f t="shared" si="11"/>
        <v>288.33600000000001</v>
      </c>
      <c r="G41" s="311"/>
      <c r="H41" s="74">
        <f t="shared" si="12"/>
        <v>44475</v>
      </c>
      <c r="I41" s="324">
        <v>0</v>
      </c>
      <c r="J41" s="325" t="e">
        <f>#REF!+#REF!</f>
        <v>#REF!</v>
      </c>
      <c r="K41" s="391">
        <f t="shared" si="3"/>
        <v>0</v>
      </c>
      <c r="L41" s="72">
        <f t="shared" si="9"/>
        <v>0</v>
      </c>
      <c r="M41" s="71"/>
      <c r="N41" s="71"/>
    </row>
    <row r="42" spans="1:14" ht="16.5" customHeight="1" x14ac:dyDescent="0.25">
      <c r="A42" s="313"/>
      <c r="B42" s="73" t="s">
        <v>39</v>
      </c>
      <c r="C42" s="72">
        <v>12.3</v>
      </c>
      <c r="D42" s="70">
        <v>12.3</v>
      </c>
      <c r="E42" s="72">
        <f t="shared" si="10"/>
        <v>0</v>
      </c>
      <c r="F42" s="70">
        <f t="shared" si="11"/>
        <v>0.9840000000000001</v>
      </c>
      <c r="G42" s="311">
        <v>44477</v>
      </c>
      <c r="H42" s="74">
        <f t="shared" si="12"/>
        <v>44475</v>
      </c>
      <c r="I42" s="324">
        <f t="shared" si="13"/>
        <v>2</v>
      </c>
      <c r="J42" s="325" t="e">
        <f>#REF!+#REF!</f>
        <v>#REF!</v>
      </c>
      <c r="K42" s="391">
        <f t="shared" si="3"/>
        <v>0</v>
      </c>
      <c r="L42" s="72">
        <f t="shared" si="9"/>
        <v>0</v>
      </c>
      <c r="M42" s="71"/>
      <c r="N42" s="71"/>
    </row>
    <row r="43" spans="1:14" ht="16.5" customHeight="1" x14ac:dyDescent="0.25">
      <c r="A43" s="313"/>
      <c r="B43" s="73" t="s">
        <v>40</v>
      </c>
      <c r="C43" s="72">
        <v>17.32</v>
      </c>
      <c r="D43" s="70">
        <v>17.32</v>
      </c>
      <c r="E43" s="72">
        <f t="shared" si="10"/>
        <v>0</v>
      </c>
      <c r="F43" s="70">
        <f t="shared" si="11"/>
        <v>1.3855999999999999</v>
      </c>
      <c r="G43" s="311">
        <v>44477</v>
      </c>
      <c r="H43" s="74">
        <f t="shared" si="12"/>
        <v>44475</v>
      </c>
      <c r="I43" s="324">
        <f t="shared" si="13"/>
        <v>2</v>
      </c>
      <c r="J43" s="325" t="e">
        <f>#REF!+#REF!</f>
        <v>#REF!</v>
      </c>
      <c r="K43" s="391">
        <f t="shared" si="3"/>
        <v>0</v>
      </c>
      <c r="L43" s="72">
        <f t="shared" si="9"/>
        <v>0</v>
      </c>
      <c r="M43" s="71"/>
      <c r="N43" s="71"/>
    </row>
    <row r="44" spans="1:14" ht="16.5" customHeight="1" x14ac:dyDescent="0.25">
      <c r="A44" s="313"/>
      <c r="B44" s="73" t="s">
        <v>41</v>
      </c>
      <c r="C44" s="72">
        <v>6.78</v>
      </c>
      <c r="D44" s="70">
        <v>6.78</v>
      </c>
      <c r="E44" s="72">
        <f t="shared" si="10"/>
        <v>0</v>
      </c>
      <c r="F44" s="70">
        <f t="shared" si="11"/>
        <v>0.54239999999999999</v>
      </c>
      <c r="G44" s="311">
        <v>44477</v>
      </c>
      <c r="H44" s="74">
        <f t="shared" si="12"/>
        <v>44475</v>
      </c>
      <c r="I44" s="324">
        <f t="shared" si="13"/>
        <v>2</v>
      </c>
      <c r="J44" s="325" t="e">
        <f>#REF!+#REF!</f>
        <v>#REF!</v>
      </c>
      <c r="K44" s="391">
        <f t="shared" si="3"/>
        <v>0</v>
      </c>
      <c r="L44" s="72">
        <f t="shared" si="9"/>
        <v>0</v>
      </c>
      <c r="M44" s="71"/>
      <c r="N44" s="71"/>
    </row>
    <row r="45" spans="1:14" ht="16.5" customHeight="1" x14ac:dyDescent="0.25">
      <c r="A45" s="313"/>
      <c r="B45" s="73" t="s">
        <v>42</v>
      </c>
      <c r="C45" s="72">
        <v>1700.62</v>
      </c>
      <c r="D45" s="70">
        <v>0</v>
      </c>
      <c r="E45" s="72">
        <f t="shared" si="10"/>
        <v>1700.62</v>
      </c>
      <c r="F45" s="70">
        <f t="shared" si="11"/>
        <v>136.0496</v>
      </c>
      <c r="G45" s="311"/>
      <c r="H45" s="74">
        <f t="shared" si="12"/>
        <v>44475</v>
      </c>
      <c r="I45" s="324">
        <v>0</v>
      </c>
      <c r="J45" s="325" t="e">
        <f>#REF!+#REF!</f>
        <v>#REF!</v>
      </c>
      <c r="K45" s="391">
        <f t="shared" si="3"/>
        <v>0</v>
      </c>
      <c r="L45" s="72">
        <f t="shared" si="9"/>
        <v>0</v>
      </c>
      <c r="M45" s="71"/>
      <c r="N45" s="71"/>
    </row>
    <row r="46" spans="1:14" ht="16.5" customHeight="1" x14ac:dyDescent="0.25">
      <c r="A46" s="313"/>
      <c r="B46" s="73" t="s">
        <v>43</v>
      </c>
      <c r="C46" s="72">
        <v>51.27</v>
      </c>
      <c r="D46" s="70">
        <v>51.27</v>
      </c>
      <c r="E46" s="72">
        <f t="shared" si="10"/>
        <v>0</v>
      </c>
      <c r="F46" s="70">
        <f t="shared" si="11"/>
        <v>4.1016000000000004</v>
      </c>
      <c r="G46" s="311">
        <v>44475</v>
      </c>
      <c r="H46" s="74">
        <f t="shared" si="12"/>
        <v>44475</v>
      </c>
      <c r="I46" s="324">
        <f t="shared" si="13"/>
        <v>0</v>
      </c>
      <c r="J46" s="325" t="e">
        <f>#REF!+#REF!</f>
        <v>#REF!</v>
      </c>
      <c r="K46" s="391">
        <f t="shared" si="3"/>
        <v>0</v>
      </c>
      <c r="L46" s="72">
        <f t="shared" si="9"/>
        <v>0</v>
      </c>
      <c r="M46" s="71"/>
      <c r="N46" s="71"/>
    </row>
    <row r="47" spans="1:14" ht="16.5" customHeight="1" x14ac:dyDescent="0.25">
      <c r="A47" s="313"/>
      <c r="B47" s="73" t="s">
        <v>44</v>
      </c>
      <c r="C47" s="72">
        <v>265.52999999999997</v>
      </c>
      <c r="D47" s="70">
        <v>265.52999999999997</v>
      </c>
      <c r="E47" s="72">
        <f t="shared" si="10"/>
        <v>0</v>
      </c>
      <c r="F47" s="70">
        <f t="shared" si="11"/>
        <v>21.2424</v>
      </c>
      <c r="G47" s="311">
        <v>44477</v>
      </c>
      <c r="H47" s="74">
        <f t="shared" si="12"/>
        <v>44475</v>
      </c>
      <c r="I47" s="324">
        <f t="shared" si="13"/>
        <v>2</v>
      </c>
      <c r="J47" s="325" t="e">
        <f>#REF!+#REF!</f>
        <v>#REF!</v>
      </c>
      <c r="K47" s="391">
        <f t="shared" si="3"/>
        <v>0</v>
      </c>
      <c r="L47" s="72">
        <f t="shared" si="9"/>
        <v>0</v>
      </c>
      <c r="M47" s="71"/>
      <c r="N47" s="71"/>
    </row>
    <row r="48" spans="1:14" ht="16.5" customHeight="1" x14ac:dyDescent="0.25">
      <c r="A48" s="313"/>
      <c r="B48" s="73" t="s">
        <v>46</v>
      </c>
      <c r="C48" s="72">
        <v>12.3</v>
      </c>
      <c r="D48" s="70">
        <v>12.3</v>
      </c>
      <c r="E48" s="72">
        <f t="shared" si="10"/>
        <v>0</v>
      </c>
      <c r="F48" s="70">
        <f t="shared" si="11"/>
        <v>0.9840000000000001</v>
      </c>
      <c r="G48" s="311">
        <v>44477</v>
      </c>
      <c r="H48" s="74">
        <f>H47</f>
        <v>44475</v>
      </c>
      <c r="I48" s="324">
        <f t="shared" si="13"/>
        <v>2</v>
      </c>
      <c r="J48" s="325" t="e">
        <f>#REF!+#REF!</f>
        <v>#REF!</v>
      </c>
      <c r="K48" s="391">
        <f>K47</f>
        <v>0</v>
      </c>
      <c r="L48" s="72">
        <f t="shared" si="9"/>
        <v>0</v>
      </c>
      <c r="M48" s="71"/>
      <c r="N48" s="71"/>
    </row>
    <row r="49" spans="1:14" ht="16.5" customHeight="1" x14ac:dyDescent="0.25">
      <c r="A49" s="313"/>
      <c r="B49" s="73" t="s">
        <v>47</v>
      </c>
      <c r="C49" s="72">
        <v>204.14</v>
      </c>
      <c r="D49" s="70">
        <v>204.14</v>
      </c>
      <c r="E49" s="72">
        <f t="shared" si="10"/>
        <v>0</v>
      </c>
      <c r="F49" s="70">
        <f t="shared" si="11"/>
        <v>16.331199999999999</v>
      </c>
      <c r="G49" s="311">
        <v>44477</v>
      </c>
      <c r="H49" s="74" t="e">
        <f>#REF!</f>
        <v>#REF!</v>
      </c>
      <c r="I49" s="324" t="e">
        <f t="shared" si="13"/>
        <v>#REF!</v>
      </c>
      <c r="J49" s="325" t="e">
        <f>#REF!+#REF!</f>
        <v>#REF!</v>
      </c>
      <c r="K49" s="391">
        <f t="shared" si="3"/>
        <v>0</v>
      </c>
      <c r="L49" s="72">
        <f t="shared" si="9"/>
        <v>0</v>
      </c>
      <c r="M49" s="71"/>
      <c r="N49" s="71"/>
    </row>
    <row r="50" spans="1:14" ht="16.5" customHeight="1" x14ac:dyDescent="0.25">
      <c r="A50" s="313"/>
      <c r="B50" s="73" t="s">
        <v>49</v>
      </c>
      <c r="C50" s="72">
        <v>941.19</v>
      </c>
      <c r="D50" s="70">
        <v>941.19</v>
      </c>
      <c r="E50" s="72">
        <f t="shared" si="10"/>
        <v>0</v>
      </c>
      <c r="F50" s="70">
        <f t="shared" si="11"/>
        <v>75.295200000000008</v>
      </c>
      <c r="G50" s="311">
        <v>44477</v>
      </c>
      <c r="H50" s="74">
        <f t="shared" si="12"/>
        <v>44475</v>
      </c>
      <c r="I50" s="324">
        <f t="shared" si="13"/>
        <v>2</v>
      </c>
      <c r="J50" s="325" t="e">
        <f>#REF!+#REF!</f>
        <v>#REF!</v>
      </c>
      <c r="K50" s="391">
        <f t="shared" si="3"/>
        <v>0</v>
      </c>
      <c r="L50" s="72">
        <f t="shared" si="9"/>
        <v>0</v>
      </c>
      <c r="M50" s="71"/>
      <c r="N50" s="71"/>
    </row>
    <row r="51" spans="1:14" ht="16.5" customHeight="1" x14ac:dyDescent="0.25">
      <c r="A51" s="313"/>
      <c r="B51" s="73" t="s">
        <v>50</v>
      </c>
      <c r="C51" s="72">
        <v>1200.1199999999999</v>
      </c>
      <c r="D51" s="70">
        <v>1200.1199999999999</v>
      </c>
      <c r="E51" s="72">
        <f t="shared" si="10"/>
        <v>0</v>
      </c>
      <c r="F51" s="70">
        <f t="shared" si="11"/>
        <v>96.009599999999992</v>
      </c>
      <c r="G51" s="311">
        <v>44484</v>
      </c>
      <c r="H51" s="74" t="e">
        <f t="shared" si="12"/>
        <v>#REF!</v>
      </c>
      <c r="I51" s="324" t="e">
        <f t="shared" si="13"/>
        <v>#REF!</v>
      </c>
      <c r="J51" s="325" t="e">
        <f>#REF!+#REF!</f>
        <v>#REF!</v>
      </c>
      <c r="K51" s="391">
        <f t="shared" si="3"/>
        <v>0</v>
      </c>
      <c r="L51" s="72">
        <f t="shared" si="9"/>
        <v>0</v>
      </c>
      <c r="M51" s="71"/>
      <c r="N51" s="71"/>
    </row>
    <row r="52" spans="1:14" ht="16.5" customHeight="1" x14ac:dyDescent="0.25">
      <c r="A52" s="313"/>
      <c r="B52" s="73" t="s">
        <v>51</v>
      </c>
      <c r="C52" s="72">
        <v>189.92</v>
      </c>
      <c r="D52" s="70">
        <v>189.92</v>
      </c>
      <c r="E52" s="72">
        <f t="shared" si="10"/>
        <v>0</v>
      </c>
      <c r="F52" s="70">
        <f t="shared" si="11"/>
        <v>15.1936</v>
      </c>
      <c r="G52" s="311">
        <v>44477</v>
      </c>
      <c r="H52" s="74">
        <f t="shared" si="12"/>
        <v>44475</v>
      </c>
      <c r="I52" s="324">
        <f t="shared" si="13"/>
        <v>2</v>
      </c>
      <c r="J52" s="325" t="e">
        <f>#REF!+#REF!</f>
        <v>#REF!</v>
      </c>
      <c r="K52" s="391">
        <f t="shared" si="3"/>
        <v>0</v>
      </c>
      <c r="L52" s="72">
        <f t="shared" si="9"/>
        <v>0</v>
      </c>
      <c r="M52" s="71"/>
      <c r="N52" s="71"/>
    </row>
    <row r="53" spans="1:14" ht="16.5" customHeight="1" x14ac:dyDescent="0.25">
      <c r="A53" s="313"/>
      <c r="B53" s="73" t="s">
        <v>52</v>
      </c>
      <c r="C53" s="72">
        <v>60.16</v>
      </c>
      <c r="D53" s="70">
        <v>60.16</v>
      </c>
      <c r="E53" s="72">
        <f t="shared" si="10"/>
        <v>0</v>
      </c>
      <c r="F53" s="70">
        <f t="shared" si="11"/>
        <v>4.8128000000000002</v>
      </c>
      <c r="G53" s="311">
        <v>44477</v>
      </c>
      <c r="H53" s="74" t="e">
        <f t="shared" si="12"/>
        <v>#REF!</v>
      </c>
      <c r="I53" s="324" t="e">
        <f t="shared" si="13"/>
        <v>#REF!</v>
      </c>
      <c r="J53" s="325" t="e">
        <f>#REF!+#REF!</f>
        <v>#REF!</v>
      </c>
      <c r="K53" s="391">
        <f t="shared" si="3"/>
        <v>0</v>
      </c>
      <c r="L53" s="72">
        <f t="shared" si="9"/>
        <v>0</v>
      </c>
      <c r="M53" s="71"/>
      <c r="N53" s="71"/>
    </row>
    <row r="54" spans="1:14" ht="16.5" customHeight="1" x14ac:dyDescent="0.25">
      <c r="A54" s="313"/>
      <c r="B54" s="73" t="s">
        <v>53</v>
      </c>
      <c r="C54" s="72">
        <v>2842.59</v>
      </c>
      <c r="D54" s="70">
        <v>0</v>
      </c>
      <c r="E54" s="72">
        <f t="shared" si="10"/>
        <v>2842.59</v>
      </c>
      <c r="F54" s="70">
        <f t="shared" si="11"/>
        <v>227.40720000000002</v>
      </c>
      <c r="G54" s="311"/>
      <c r="H54" s="74">
        <f t="shared" si="12"/>
        <v>44475</v>
      </c>
      <c r="I54" s="324">
        <v>0</v>
      </c>
      <c r="J54" s="325" t="e">
        <f>#REF!+#REF!</f>
        <v>#REF!</v>
      </c>
      <c r="K54" s="391">
        <f t="shared" si="3"/>
        <v>0</v>
      </c>
      <c r="L54" s="72">
        <f t="shared" si="9"/>
        <v>0</v>
      </c>
      <c r="M54" s="71"/>
      <c r="N54" s="71"/>
    </row>
    <row r="55" spans="1:14" ht="16.5" customHeight="1" x14ac:dyDescent="0.25">
      <c r="A55" s="313"/>
      <c r="B55" s="73" t="s">
        <v>54</v>
      </c>
      <c r="C55" s="72">
        <v>17.010000000000002</v>
      </c>
      <c r="D55" s="70">
        <v>17.010000000000002</v>
      </c>
      <c r="E55" s="72">
        <f t="shared" si="10"/>
        <v>0</v>
      </c>
      <c r="F55" s="70">
        <f t="shared" si="11"/>
        <v>1.3608000000000002</v>
      </c>
      <c r="G55" s="311">
        <v>44477</v>
      </c>
      <c r="H55" s="74" t="e">
        <f t="shared" si="12"/>
        <v>#REF!</v>
      </c>
      <c r="I55" s="324" t="e">
        <f t="shared" si="13"/>
        <v>#REF!</v>
      </c>
      <c r="J55" s="325" t="e">
        <f>#REF!+#REF!</f>
        <v>#REF!</v>
      </c>
      <c r="K55" s="391">
        <f t="shared" si="3"/>
        <v>0</v>
      </c>
      <c r="L55" s="72">
        <f t="shared" si="9"/>
        <v>0</v>
      </c>
      <c r="M55" s="71"/>
      <c r="N55" s="71"/>
    </row>
    <row r="56" spans="1:14" ht="16.5" customHeight="1" x14ac:dyDescent="0.25">
      <c r="A56" s="313"/>
      <c r="B56" s="73" t="s">
        <v>55</v>
      </c>
      <c r="C56" s="72">
        <v>7.69</v>
      </c>
      <c r="D56" s="70">
        <v>7.69</v>
      </c>
      <c r="E56" s="72">
        <f t="shared" si="10"/>
        <v>0</v>
      </c>
      <c r="F56" s="70">
        <f t="shared" si="11"/>
        <v>0.61520000000000008</v>
      </c>
      <c r="G56" s="311">
        <v>44477</v>
      </c>
      <c r="H56" s="74">
        <f t="shared" si="12"/>
        <v>44475</v>
      </c>
      <c r="I56" s="324">
        <f t="shared" si="13"/>
        <v>2</v>
      </c>
      <c r="J56" s="325" t="e">
        <f>#REF!+#REF!</f>
        <v>#REF!</v>
      </c>
      <c r="K56" s="391">
        <f t="shared" si="3"/>
        <v>0</v>
      </c>
      <c r="L56" s="72">
        <f t="shared" si="9"/>
        <v>0</v>
      </c>
      <c r="M56" s="71"/>
      <c r="N56" s="71"/>
    </row>
    <row r="57" spans="1:14" ht="16.5" customHeight="1" x14ac:dyDescent="0.25">
      <c r="A57" s="313"/>
      <c r="B57" s="73" t="s">
        <v>56</v>
      </c>
      <c r="C57" s="72">
        <v>130.16999999999999</v>
      </c>
      <c r="D57" s="70">
        <v>130.16999999999999</v>
      </c>
      <c r="E57" s="72">
        <f t="shared" si="10"/>
        <v>0</v>
      </c>
      <c r="F57" s="70">
        <f t="shared" si="11"/>
        <v>10.413599999999999</v>
      </c>
      <c r="G57" s="311">
        <v>44477</v>
      </c>
      <c r="H57" s="74" t="e">
        <f t="shared" si="12"/>
        <v>#REF!</v>
      </c>
      <c r="I57" s="324" t="e">
        <f t="shared" si="13"/>
        <v>#REF!</v>
      </c>
      <c r="J57" s="325" t="e">
        <f>#REF!+#REF!</f>
        <v>#REF!</v>
      </c>
      <c r="K57" s="391">
        <f t="shared" si="3"/>
        <v>0</v>
      </c>
      <c r="L57" s="72">
        <f t="shared" si="9"/>
        <v>0</v>
      </c>
      <c r="M57" s="71"/>
      <c r="N57" s="71"/>
    </row>
    <row r="58" spans="1:14" ht="16.5" customHeight="1" x14ac:dyDescent="0.25">
      <c r="A58" s="313"/>
      <c r="B58" s="73" t="s">
        <v>57</v>
      </c>
      <c r="C58" s="72">
        <v>7.36</v>
      </c>
      <c r="D58" s="70">
        <v>7.36</v>
      </c>
      <c r="E58" s="72">
        <f t="shared" si="10"/>
        <v>0</v>
      </c>
      <c r="F58" s="70">
        <f t="shared" si="11"/>
        <v>0.58879999999999999</v>
      </c>
      <c r="G58" s="311">
        <v>44477</v>
      </c>
      <c r="H58" s="74">
        <f t="shared" si="12"/>
        <v>44475</v>
      </c>
      <c r="I58" s="324">
        <f t="shared" si="13"/>
        <v>2</v>
      </c>
      <c r="J58" s="325" t="e">
        <f>#REF!+#REF!</f>
        <v>#REF!</v>
      </c>
      <c r="K58" s="391">
        <f t="shared" si="3"/>
        <v>0</v>
      </c>
      <c r="L58" s="72">
        <f t="shared" si="9"/>
        <v>0</v>
      </c>
      <c r="M58" s="71"/>
      <c r="N58" s="71"/>
    </row>
    <row r="59" spans="1:14" ht="16.5" customHeight="1" x14ac:dyDescent="0.25">
      <c r="A59" s="313"/>
      <c r="B59" s="73" t="s">
        <v>220</v>
      </c>
      <c r="C59" s="72">
        <v>1154.01</v>
      </c>
      <c r="D59" s="70">
        <v>1154.01</v>
      </c>
      <c r="E59" s="72">
        <f t="shared" si="10"/>
        <v>0</v>
      </c>
      <c r="F59" s="70">
        <f t="shared" si="11"/>
        <v>92.320800000000006</v>
      </c>
      <c r="G59" s="311">
        <v>44477</v>
      </c>
      <c r="H59" s="74" t="e">
        <f t="shared" si="12"/>
        <v>#REF!</v>
      </c>
      <c r="I59" s="324" t="e">
        <f t="shared" si="13"/>
        <v>#REF!</v>
      </c>
      <c r="J59" s="325" t="e">
        <f>#REF!+#REF!</f>
        <v>#REF!</v>
      </c>
      <c r="K59" s="391">
        <f t="shared" si="3"/>
        <v>0</v>
      </c>
      <c r="L59" s="72">
        <f t="shared" si="9"/>
        <v>0</v>
      </c>
      <c r="M59" s="71"/>
      <c r="N59" s="71"/>
    </row>
    <row r="60" spans="1:14" ht="16.5" customHeight="1" x14ac:dyDescent="0.25">
      <c r="A60" s="313"/>
      <c r="B60" s="73" t="s">
        <v>122</v>
      </c>
      <c r="C60" s="72">
        <v>88.33</v>
      </c>
      <c r="D60" s="70">
        <v>88.33</v>
      </c>
      <c r="E60" s="72">
        <f t="shared" si="10"/>
        <v>0</v>
      </c>
      <c r="F60" s="70">
        <f t="shared" si="11"/>
        <v>7.0663999999999998</v>
      </c>
      <c r="G60" s="311">
        <v>44477</v>
      </c>
      <c r="H60" s="74">
        <f t="shared" si="12"/>
        <v>44475</v>
      </c>
      <c r="I60" s="324">
        <f t="shared" si="13"/>
        <v>2</v>
      </c>
      <c r="J60" s="325" t="e">
        <f>#REF!+#REF!</f>
        <v>#REF!</v>
      </c>
      <c r="K60" s="391">
        <f t="shared" si="3"/>
        <v>0</v>
      </c>
      <c r="L60" s="72">
        <f t="shared" si="9"/>
        <v>0</v>
      </c>
      <c r="M60" s="71"/>
      <c r="N60" s="71"/>
    </row>
    <row r="61" spans="1:14" ht="16.5" customHeight="1" x14ac:dyDescent="0.25">
      <c r="A61" s="313"/>
      <c r="B61" s="73" t="s">
        <v>4</v>
      </c>
      <c r="C61" s="72">
        <v>395.82</v>
      </c>
      <c r="D61" s="70">
        <v>395.82</v>
      </c>
      <c r="E61" s="72">
        <f t="shared" si="10"/>
        <v>0</v>
      </c>
      <c r="F61" s="70">
        <f t="shared" si="11"/>
        <v>31.665600000000001</v>
      </c>
      <c r="G61" s="311">
        <v>44477</v>
      </c>
      <c r="H61" s="74" t="e">
        <f t="shared" si="12"/>
        <v>#REF!</v>
      </c>
      <c r="I61" s="324" t="e">
        <f t="shared" si="13"/>
        <v>#REF!</v>
      </c>
      <c r="J61" s="325" t="e">
        <f>#REF!+#REF!</f>
        <v>#REF!</v>
      </c>
      <c r="K61" s="391">
        <f t="shared" si="3"/>
        <v>0</v>
      </c>
      <c r="L61" s="72">
        <f t="shared" si="9"/>
        <v>0</v>
      </c>
      <c r="M61" s="71"/>
      <c r="N61" s="71"/>
    </row>
    <row r="62" spans="1:14" ht="16.5" customHeight="1" x14ac:dyDescent="0.25">
      <c r="A62" s="313"/>
      <c r="B62" s="73" t="s">
        <v>221</v>
      </c>
      <c r="C62" s="72">
        <v>567.21</v>
      </c>
      <c r="D62" s="70">
        <v>567.21</v>
      </c>
      <c r="E62" s="72">
        <f t="shared" si="10"/>
        <v>0</v>
      </c>
      <c r="F62" s="70">
        <f t="shared" si="11"/>
        <v>45.376800000000003</v>
      </c>
      <c r="G62" s="311">
        <v>44477</v>
      </c>
      <c r="H62" s="74">
        <f t="shared" si="12"/>
        <v>44475</v>
      </c>
      <c r="I62" s="324">
        <f t="shared" si="13"/>
        <v>2</v>
      </c>
      <c r="J62" s="325" t="e">
        <f>#REF!+#REF!</f>
        <v>#REF!</v>
      </c>
      <c r="K62" s="391">
        <f t="shared" si="3"/>
        <v>0</v>
      </c>
      <c r="L62" s="72">
        <f t="shared" si="9"/>
        <v>0</v>
      </c>
      <c r="M62" s="71"/>
      <c r="N62" s="71"/>
    </row>
    <row r="63" spans="1:14" ht="16.5" customHeight="1" x14ac:dyDescent="0.25">
      <c r="A63" s="313"/>
      <c r="B63" s="73" t="s">
        <v>58</v>
      </c>
      <c r="C63" s="72">
        <v>9.8000000000000007</v>
      </c>
      <c r="D63" s="70">
        <v>9.8000000000000007</v>
      </c>
      <c r="E63" s="72">
        <f t="shared" si="10"/>
        <v>0</v>
      </c>
      <c r="F63" s="70">
        <f t="shared" si="11"/>
        <v>0.78400000000000003</v>
      </c>
      <c r="G63" s="311">
        <v>44477</v>
      </c>
      <c r="H63" s="74" t="e">
        <f t="shared" si="12"/>
        <v>#REF!</v>
      </c>
      <c r="I63" s="324" t="e">
        <f t="shared" si="13"/>
        <v>#REF!</v>
      </c>
      <c r="J63" s="325" t="e">
        <f>#REF!+#REF!</f>
        <v>#REF!</v>
      </c>
      <c r="K63" s="391">
        <f t="shared" si="3"/>
        <v>0</v>
      </c>
      <c r="L63" s="72">
        <f t="shared" si="9"/>
        <v>0</v>
      </c>
      <c r="M63" s="71"/>
      <c r="N63" s="71"/>
    </row>
    <row r="64" spans="1:14" ht="16.5" customHeight="1" x14ac:dyDescent="0.25">
      <c r="A64" s="313"/>
      <c r="B64" s="73" t="s">
        <v>59</v>
      </c>
      <c r="C64" s="72">
        <v>69.25</v>
      </c>
      <c r="D64" s="70">
        <v>69.25</v>
      </c>
      <c r="E64" s="72">
        <f t="shared" si="10"/>
        <v>0</v>
      </c>
      <c r="F64" s="70">
        <f t="shared" si="11"/>
        <v>5.54</v>
      </c>
      <c r="G64" s="311">
        <v>44477</v>
      </c>
      <c r="H64" s="74">
        <f t="shared" si="12"/>
        <v>44475</v>
      </c>
      <c r="I64" s="324">
        <f t="shared" si="13"/>
        <v>2</v>
      </c>
      <c r="J64" s="325" t="e">
        <f>#REF!+#REF!</f>
        <v>#REF!</v>
      </c>
      <c r="K64" s="391">
        <f t="shared" si="3"/>
        <v>0</v>
      </c>
      <c r="L64" s="72">
        <f t="shared" si="9"/>
        <v>0</v>
      </c>
      <c r="M64" s="71"/>
      <c r="N64" s="71"/>
    </row>
    <row r="65" spans="1:14" ht="16.5" customHeight="1" x14ac:dyDescent="0.25">
      <c r="A65" s="313"/>
      <c r="B65" s="73" t="s">
        <v>62</v>
      </c>
      <c r="C65" s="72">
        <v>5.0599999999999996</v>
      </c>
      <c r="D65" s="70">
        <v>5.0599999999999996</v>
      </c>
      <c r="E65" s="72">
        <f t="shared" si="10"/>
        <v>0</v>
      </c>
      <c r="F65" s="70">
        <f t="shared" si="11"/>
        <v>0.40479999999999999</v>
      </c>
      <c r="G65" s="311">
        <v>44477</v>
      </c>
      <c r="H65" s="74" t="e">
        <f t="shared" si="12"/>
        <v>#REF!</v>
      </c>
      <c r="I65" s="324" t="e">
        <f t="shared" si="13"/>
        <v>#REF!</v>
      </c>
      <c r="J65" s="325" t="e">
        <f>#REF!+#REF!</f>
        <v>#REF!</v>
      </c>
      <c r="K65" s="391">
        <f t="shared" si="3"/>
        <v>0</v>
      </c>
      <c r="L65" s="72">
        <f t="shared" ref="L65:L94" si="14">SUM(E65)*K65</f>
        <v>0</v>
      </c>
      <c r="M65" s="71"/>
      <c r="N65" s="71"/>
    </row>
    <row r="66" spans="1:14" ht="16.5" customHeight="1" x14ac:dyDescent="0.25">
      <c r="A66" s="313"/>
      <c r="B66" s="73" t="s">
        <v>63</v>
      </c>
      <c r="C66" s="72">
        <v>53.66</v>
      </c>
      <c r="D66" s="70">
        <v>53.66</v>
      </c>
      <c r="E66" s="72">
        <f t="shared" si="10"/>
        <v>0</v>
      </c>
      <c r="F66" s="70">
        <f t="shared" si="11"/>
        <v>4.2927999999999997</v>
      </c>
      <c r="G66" s="311">
        <v>44477</v>
      </c>
      <c r="H66" s="74">
        <f t="shared" si="12"/>
        <v>44475</v>
      </c>
      <c r="I66" s="324">
        <f t="shared" si="13"/>
        <v>2</v>
      </c>
      <c r="J66" s="325" t="e">
        <f>#REF!+#REF!</f>
        <v>#REF!</v>
      </c>
      <c r="K66" s="391">
        <f t="shared" si="3"/>
        <v>0</v>
      </c>
      <c r="L66" s="72">
        <f t="shared" si="14"/>
        <v>0</v>
      </c>
      <c r="M66" s="71"/>
      <c r="N66" s="71"/>
    </row>
    <row r="67" spans="1:14" ht="16.5" customHeight="1" x14ac:dyDescent="0.25">
      <c r="A67" s="313"/>
      <c r="B67" s="73" t="s">
        <v>64</v>
      </c>
      <c r="C67" s="72">
        <v>10.79</v>
      </c>
      <c r="D67" s="70">
        <v>10.79</v>
      </c>
      <c r="E67" s="72">
        <f t="shared" si="10"/>
        <v>0</v>
      </c>
      <c r="F67" s="70">
        <f t="shared" si="11"/>
        <v>0.86319999999999997</v>
      </c>
      <c r="G67" s="311">
        <v>44477</v>
      </c>
      <c r="H67" s="74" t="e">
        <f t="shared" si="12"/>
        <v>#REF!</v>
      </c>
      <c r="I67" s="324" t="e">
        <f t="shared" si="13"/>
        <v>#REF!</v>
      </c>
      <c r="J67" s="325" t="e">
        <f>#REF!+#REF!</f>
        <v>#REF!</v>
      </c>
      <c r="K67" s="391">
        <f t="shared" si="3"/>
        <v>0</v>
      </c>
      <c r="L67" s="72">
        <f t="shared" si="14"/>
        <v>0</v>
      </c>
      <c r="M67" s="71"/>
      <c r="N67" s="71"/>
    </row>
    <row r="68" spans="1:14" ht="16.5" customHeight="1" x14ac:dyDescent="0.25">
      <c r="A68" s="313"/>
      <c r="B68" s="73" t="s">
        <v>65</v>
      </c>
      <c r="C68" s="72">
        <v>560.01</v>
      </c>
      <c r="D68" s="70">
        <v>560.01</v>
      </c>
      <c r="E68" s="72">
        <f t="shared" si="10"/>
        <v>0</v>
      </c>
      <c r="F68" s="70">
        <f t="shared" si="11"/>
        <v>44.800800000000002</v>
      </c>
      <c r="G68" s="311">
        <v>44477</v>
      </c>
      <c r="H68" s="74">
        <f t="shared" si="12"/>
        <v>44475</v>
      </c>
      <c r="I68" s="324">
        <f t="shared" si="13"/>
        <v>2</v>
      </c>
      <c r="J68" s="325" t="e">
        <f>#REF!+#REF!</f>
        <v>#REF!</v>
      </c>
      <c r="K68" s="391">
        <f t="shared" si="3"/>
        <v>0</v>
      </c>
      <c r="L68" s="72">
        <f t="shared" si="14"/>
        <v>0</v>
      </c>
      <c r="M68" s="71"/>
      <c r="N68" s="71"/>
    </row>
    <row r="69" spans="1:14" ht="16.5" customHeight="1" x14ac:dyDescent="0.25">
      <c r="A69" s="313"/>
      <c r="B69" s="73" t="s">
        <v>66</v>
      </c>
      <c r="C69" s="72">
        <v>1338.54</v>
      </c>
      <c r="D69" s="70">
        <v>0</v>
      </c>
      <c r="E69" s="72">
        <f t="shared" si="10"/>
        <v>1338.54</v>
      </c>
      <c r="F69" s="70">
        <f t="shared" si="11"/>
        <v>107.08320000000001</v>
      </c>
      <c r="G69" s="311"/>
      <c r="H69" s="74" t="e">
        <f t="shared" si="12"/>
        <v>#REF!</v>
      </c>
      <c r="I69" s="324">
        <v>0</v>
      </c>
      <c r="J69" s="325" t="e">
        <f>#REF!+#REF!</f>
        <v>#REF!</v>
      </c>
      <c r="K69" s="391">
        <f t="shared" si="3"/>
        <v>0</v>
      </c>
      <c r="L69" s="72">
        <f t="shared" si="14"/>
        <v>0</v>
      </c>
      <c r="M69" s="71"/>
      <c r="N69" s="71"/>
    </row>
    <row r="70" spans="1:14" ht="16.5" customHeight="1" x14ac:dyDescent="0.25">
      <c r="A70" s="313"/>
      <c r="B70" s="73" t="s">
        <v>67</v>
      </c>
      <c r="C70" s="72">
        <v>84.23</v>
      </c>
      <c r="D70" s="70">
        <v>84.23</v>
      </c>
      <c r="E70" s="72">
        <f t="shared" si="10"/>
        <v>0</v>
      </c>
      <c r="F70" s="70">
        <f t="shared" si="11"/>
        <v>6.7384000000000004</v>
      </c>
      <c r="G70" s="311">
        <v>44477</v>
      </c>
      <c r="H70" s="74">
        <f t="shared" si="12"/>
        <v>44475</v>
      </c>
      <c r="I70" s="324">
        <f t="shared" si="13"/>
        <v>2</v>
      </c>
      <c r="J70" s="325" t="e">
        <f>#REF!+#REF!</f>
        <v>#REF!</v>
      </c>
      <c r="K70" s="391">
        <f t="shared" ref="K70:K102" si="15">K69</f>
        <v>0</v>
      </c>
      <c r="L70" s="72">
        <f t="shared" si="14"/>
        <v>0</v>
      </c>
      <c r="M70" s="71"/>
      <c r="N70" s="71"/>
    </row>
    <row r="71" spans="1:14" ht="16.5" customHeight="1" x14ac:dyDescent="0.25">
      <c r="A71" s="313"/>
      <c r="B71" s="73" t="s">
        <v>68</v>
      </c>
      <c r="C71" s="72">
        <v>190.73</v>
      </c>
      <c r="D71" s="70">
        <v>190.73</v>
      </c>
      <c r="E71" s="72">
        <f t="shared" si="10"/>
        <v>0</v>
      </c>
      <c r="F71" s="70">
        <f t="shared" si="11"/>
        <v>15.2584</v>
      </c>
      <c r="G71" s="311">
        <v>44477</v>
      </c>
      <c r="H71" s="74" t="e">
        <f t="shared" si="12"/>
        <v>#REF!</v>
      </c>
      <c r="I71" s="324" t="e">
        <f t="shared" si="13"/>
        <v>#REF!</v>
      </c>
      <c r="J71" s="325" t="e">
        <f>#REF!+#REF!</f>
        <v>#REF!</v>
      </c>
      <c r="K71" s="391">
        <f t="shared" si="15"/>
        <v>0</v>
      </c>
      <c r="L71" s="72">
        <f t="shared" si="14"/>
        <v>0</v>
      </c>
      <c r="M71" s="71"/>
      <c r="N71" s="71"/>
    </row>
    <row r="72" spans="1:14" ht="16.5" customHeight="1" x14ac:dyDescent="0.25">
      <c r="A72" s="313"/>
      <c r="B72" s="73" t="s">
        <v>109</v>
      </c>
      <c r="C72" s="72">
        <v>1533.01</v>
      </c>
      <c r="D72" s="70">
        <v>0</v>
      </c>
      <c r="E72" s="72">
        <f t="shared" si="10"/>
        <v>1533.01</v>
      </c>
      <c r="F72" s="70">
        <f t="shared" si="11"/>
        <v>122.6408</v>
      </c>
      <c r="G72" s="311"/>
      <c r="H72" s="74">
        <f t="shared" si="12"/>
        <v>44475</v>
      </c>
      <c r="I72" s="324">
        <v>0</v>
      </c>
      <c r="J72" s="325" t="e">
        <f>#REF!+#REF!</f>
        <v>#REF!</v>
      </c>
      <c r="K72" s="391">
        <f t="shared" si="15"/>
        <v>0</v>
      </c>
      <c r="L72" s="72">
        <f t="shared" si="14"/>
        <v>0</v>
      </c>
      <c r="M72" s="71"/>
      <c r="N72" s="71"/>
    </row>
    <row r="73" spans="1:14" ht="16.5" customHeight="1" x14ac:dyDescent="0.25">
      <c r="A73" s="313"/>
      <c r="B73" s="73" t="s">
        <v>69</v>
      </c>
      <c r="C73" s="72">
        <v>825.13</v>
      </c>
      <c r="D73" s="70">
        <v>825.13</v>
      </c>
      <c r="E73" s="72">
        <f t="shared" si="10"/>
        <v>0</v>
      </c>
      <c r="F73" s="70">
        <f t="shared" si="11"/>
        <v>66.010400000000004</v>
      </c>
      <c r="G73" s="311">
        <v>44477</v>
      </c>
      <c r="H73" s="74" t="e">
        <f t="shared" si="12"/>
        <v>#REF!</v>
      </c>
      <c r="I73" s="324" t="e">
        <f t="shared" si="13"/>
        <v>#REF!</v>
      </c>
      <c r="J73" s="325" t="e">
        <f>#REF!+#REF!</f>
        <v>#REF!</v>
      </c>
      <c r="K73" s="391">
        <f t="shared" si="15"/>
        <v>0</v>
      </c>
      <c r="L73" s="72">
        <f t="shared" si="14"/>
        <v>0</v>
      </c>
      <c r="M73" s="71"/>
      <c r="N73" s="71"/>
    </row>
    <row r="74" spans="1:14" ht="16.5" customHeight="1" x14ac:dyDescent="0.25">
      <c r="A74" s="313"/>
      <c r="B74" s="73" t="s">
        <v>72</v>
      </c>
      <c r="C74" s="72">
        <v>61.07</v>
      </c>
      <c r="D74" s="70">
        <v>0</v>
      </c>
      <c r="E74" s="72">
        <f t="shared" si="10"/>
        <v>61.07</v>
      </c>
      <c r="F74" s="70">
        <f t="shared" si="11"/>
        <v>4.8856000000000002</v>
      </c>
      <c r="G74" s="76"/>
      <c r="H74" s="74" t="e">
        <f>H73</f>
        <v>#REF!</v>
      </c>
      <c r="I74" s="324">
        <v>0</v>
      </c>
      <c r="J74" s="325" t="e">
        <f>#REF!+#REF!</f>
        <v>#REF!</v>
      </c>
      <c r="K74" s="391">
        <f>K73</f>
        <v>0</v>
      </c>
      <c r="L74" s="72">
        <f t="shared" si="14"/>
        <v>0</v>
      </c>
      <c r="M74" s="71"/>
      <c r="N74" s="71"/>
    </row>
    <row r="75" spans="1:14" ht="16.5" customHeight="1" x14ac:dyDescent="0.25">
      <c r="A75" s="313"/>
      <c r="B75" s="73" t="s">
        <v>73</v>
      </c>
      <c r="C75" s="72">
        <v>816.26</v>
      </c>
      <c r="D75" s="70">
        <v>816.26</v>
      </c>
      <c r="E75" s="72">
        <f t="shared" si="10"/>
        <v>0</v>
      </c>
      <c r="F75" s="70">
        <f t="shared" si="11"/>
        <v>65.300799999999995</v>
      </c>
      <c r="G75" s="311">
        <v>44477</v>
      </c>
      <c r="H75" s="74" t="e">
        <f>#REF!</f>
        <v>#REF!</v>
      </c>
      <c r="I75" s="324" t="e">
        <f t="shared" si="13"/>
        <v>#REF!</v>
      </c>
      <c r="J75" s="325" t="e">
        <f>#REF!+#REF!</f>
        <v>#REF!</v>
      </c>
      <c r="K75" s="391">
        <f t="shared" si="15"/>
        <v>0</v>
      </c>
      <c r="L75" s="72">
        <f t="shared" si="14"/>
        <v>0</v>
      </c>
      <c r="M75" s="71"/>
      <c r="N75" s="71"/>
    </row>
    <row r="76" spans="1:14" ht="16.5" customHeight="1" x14ac:dyDescent="0.25">
      <c r="A76" s="313"/>
      <c r="B76" s="73" t="s">
        <v>74</v>
      </c>
      <c r="C76" s="72">
        <v>3556.52</v>
      </c>
      <c r="D76" s="70">
        <v>0</v>
      </c>
      <c r="E76" s="72">
        <f t="shared" si="10"/>
        <v>3556.52</v>
      </c>
      <c r="F76" s="70">
        <f t="shared" si="11"/>
        <v>284.52159999999998</v>
      </c>
      <c r="G76" s="76"/>
      <c r="H76" s="74" t="e">
        <f t="shared" si="12"/>
        <v>#REF!</v>
      </c>
      <c r="I76" s="324">
        <v>0</v>
      </c>
      <c r="J76" s="325" t="e">
        <f>#REF!+#REF!</f>
        <v>#REF!</v>
      </c>
      <c r="K76" s="391">
        <f t="shared" si="15"/>
        <v>0</v>
      </c>
      <c r="L76" s="72">
        <f t="shared" si="14"/>
        <v>0</v>
      </c>
      <c r="M76" s="71"/>
      <c r="N76" s="71"/>
    </row>
    <row r="77" spans="1:14" ht="16.5" customHeight="1" x14ac:dyDescent="0.25">
      <c r="A77" s="313"/>
      <c r="B77" s="73" t="s">
        <v>10</v>
      </c>
      <c r="C77" s="72">
        <v>117.88</v>
      </c>
      <c r="D77" s="70">
        <v>117.88</v>
      </c>
      <c r="E77" s="72">
        <f t="shared" si="10"/>
        <v>0</v>
      </c>
      <c r="F77" s="70">
        <f t="shared" si="11"/>
        <v>9.4304000000000006</v>
      </c>
      <c r="G77" s="311">
        <v>44477</v>
      </c>
      <c r="H77" s="74" t="e">
        <f t="shared" si="12"/>
        <v>#REF!</v>
      </c>
      <c r="I77" s="324" t="e">
        <f t="shared" si="13"/>
        <v>#REF!</v>
      </c>
      <c r="J77" s="325" t="e">
        <f>#REF!+#REF!</f>
        <v>#REF!</v>
      </c>
      <c r="K77" s="391">
        <f t="shared" si="15"/>
        <v>0</v>
      </c>
      <c r="L77" s="72">
        <f t="shared" si="14"/>
        <v>0</v>
      </c>
      <c r="M77" s="71"/>
      <c r="N77" s="71"/>
    </row>
    <row r="78" spans="1:14" ht="16.5" customHeight="1" x14ac:dyDescent="0.25">
      <c r="A78" s="313"/>
      <c r="B78" s="73" t="s">
        <v>77</v>
      </c>
      <c r="C78" s="72">
        <v>1940.79</v>
      </c>
      <c r="D78" s="70">
        <v>1000</v>
      </c>
      <c r="E78" s="72">
        <f t="shared" si="10"/>
        <v>940.79</v>
      </c>
      <c r="F78" s="70">
        <f t="shared" si="11"/>
        <v>155.26320000000001</v>
      </c>
      <c r="G78" s="76">
        <v>44483</v>
      </c>
      <c r="H78" s="74" t="e">
        <f t="shared" si="12"/>
        <v>#REF!</v>
      </c>
      <c r="I78" s="324" t="e">
        <f t="shared" si="13"/>
        <v>#REF!</v>
      </c>
      <c r="J78" s="325" t="e">
        <f>#REF!+#REF!</f>
        <v>#REF!</v>
      </c>
      <c r="K78" s="391">
        <f t="shared" si="15"/>
        <v>0</v>
      </c>
      <c r="L78" s="72">
        <f t="shared" si="14"/>
        <v>0</v>
      </c>
      <c r="M78" s="71"/>
      <c r="N78" s="71"/>
    </row>
    <row r="79" spans="1:14" ht="16.5" customHeight="1" x14ac:dyDescent="0.25">
      <c r="A79" s="313"/>
      <c r="B79" s="73" t="s">
        <v>78</v>
      </c>
      <c r="C79" s="72">
        <v>2121.09</v>
      </c>
      <c r="D79" s="70">
        <v>0</v>
      </c>
      <c r="E79" s="72">
        <f t="shared" si="10"/>
        <v>2121.09</v>
      </c>
      <c r="F79" s="70">
        <f t="shared" si="11"/>
        <v>169.68720000000002</v>
      </c>
      <c r="G79" s="76"/>
      <c r="H79" s="74" t="e">
        <f t="shared" si="12"/>
        <v>#REF!</v>
      </c>
      <c r="I79" s="324">
        <v>0</v>
      </c>
      <c r="J79" s="325" t="e">
        <f>#REF!+#REF!</f>
        <v>#REF!</v>
      </c>
      <c r="K79" s="391">
        <f t="shared" si="15"/>
        <v>0</v>
      </c>
      <c r="L79" s="72">
        <f t="shared" si="14"/>
        <v>0</v>
      </c>
      <c r="M79" s="71"/>
      <c r="N79" s="71"/>
    </row>
    <row r="80" spans="1:14" ht="16.5" customHeight="1" x14ac:dyDescent="0.25">
      <c r="A80" s="313"/>
      <c r="B80" s="73" t="s">
        <v>79</v>
      </c>
      <c r="C80" s="72">
        <v>1620.77</v>
      </c>
      <c r="D80" s="70">
        <v>1620.77</v>
      </c>
      <c r="E80" s="72">
        <f t="shared" si="10"/>
        <v>0</v>
      </c>
      <c r="F80" s="70">
        <f t="shared" si="11"/>
        <v>129.66159999999999</v>
      </c>
      <c r="G80" s="311">
        <v>44477</v>
      </c>
      <c r="H80" s="74" t="e">
        <f t="shared" si="12"/>
        <v>#REF!</v>
      </c>
      <c r="I80" s="324" t="e">
        <f t="shared" si="13"/>
        <v>#REF!</v>
      </c>
      <c r="J80" s="325" t="e">
        <f>#REF!+#REF!</f>
        <v>#REF!</v>
      </c>
      <c r="K80" s="391">
        <f t="shared" si="15"/>
        <v>0</v>
      </c>
      <c r="L80" s="72">
        <f t="shared" si="14"/>
        <v>0</v>
      </c>
      <c r="M80" s="71"/>
      <c r="N80" s="71"/>
    </row>
    <row r="81" spans="1:14" ht="16.5" customHeight="1" x14ac:dyDescent="0.25">
      <c r="A81" s="313"/>
      <c r="B81" s="73" t="s">
        <v>80</v>
      </c>
      <c r="C81" s="72">
        <v>2220.44</v>
      </c>
      <c r="D81" s="70">
        <v>0</v>
      </c>
      <c r="E81" s="72">
        <f t="shared" si="10"/>
        <v>2220.44</v>
      </c>
      <c r="F81" s="70">
        <f t="shared" si="11"/>
        <v>177.6352</v>
      </c>
      <c r="G81" s="76"/>
      <c r="H81" s="74" t="e">
        <f t="shared" si="12"/>
        <v>#REF!</v>
      </c>
      <c r="I81" s="324">
        <v>0</v>
      </c>
      <c r="J81" s="325" t="e">
        <f>#REF!+#REF!</f>
        <v>#REF!</v>
      </c>
      <c r="K81" s="391">
        <f t="shared" si="15"/>
        <v>0</v>
      </c>
      <c r="L81" s="72">
        <f t="shared" si="14"/>
        <v>0</v>
      </c>
      <c r="M81" s="71"/>
      <c r="N81" s="71"/>
    </row>
    <row r="82" spans="1:14" ht="16.5" customHeight="1" x14ac:dyDescent="0.25">
      <c r="A82" s="313"/>
      <c r="B82" s="73" t="s">
        <v>81</v>
      </c>
      <c r="C82" s="72">
        <v>3965.49</v>
      </c>
      <c r="D82" s="70">
        <v>1500</v>
      </c>
      <c r="E82" s="72">
        <v>0</v>
      </c>
      <c r="F82" s="70">
        <f t="shared" si="11"/>
        <v>317.23919999999998</v>
      </c>
      <c r="G82" s="76">
        <v>44480</v>
      </c>
      <c r="H82" s="74" t="e">
        <f t="shared" si="12"/>
        <v>#REF!</v>
      </c>
      <c r="I82" s="324" t="e">
        <f t="shared" si="13"/>
        <v>#REF!</v>
      </c>
      <c r="J82" s="325" t="e">
        <f>#REF!+#REF!</f>
        <v>#REF!</v>
      </c>
      <c r="K82" s="391">
        <f t="shared" si="15"/>
        <v>0</v>
      </c>
      <c r="L82" s="72">
        <f t="shared" si="14"/>
        <v>0</v>
      </c>
      <c r="M82" s="71"/>
      <c r="N82" s="71"/>
    </row>
    <row r="83" spans="1:14" ht="16.5" customHeight="1" x14ac:dyDescent="0.25">
      <c r="A83" s="313"/>
      <c r="B83" s="73" t="s">
        <v>81</v>
      </c>
      <c r="C83" s="72">
        <v>0</v>
      </c>
      <c r="D83" s="70">
        <v>2465.4899999999998</v>
      </c>
      <c r="E83" s="72">
        <f>C82-D82-D83</f>
        <v>0</v>
      </c>
      <c r="F83" s="70">
        <f t="shared" si="11"/>
        <v>0</v>
      </c>
      <c r="G83" s="76">
        <v>44510</v>
      </c>
      <c r="H83" s="74" t="e">
        <f t="shared" si="12"/>
        <v>#REF!</v>
      </c>
      <c r="I83" s="324" t="e">
        <f t="shared" si="13"/>
        <v>#REF!</v>
      </c>
      <c r="J83" s="325" t="e">
        <f>#REF!+#REF!</f>
        <v>#REF!</v>
      </c>
      <c r="K83" s="391">
        <f t="shared" si="15"/>
        <v>0</v>
      </c>
      <c r="L83" s="72">
        <f t="shared" si="14"/>
        <v>0</v>
      </c>
      <c r="M83" s="71"/>
      <c r="N83" s="71"/>
    </row>
    <row r="84" spans="1:14" ht="16.5" customHeight="1" x14ac:dyDescent="0.25">
      <c r="A84" s="313"/>
      <c r="B84" s="73" t="s">
        <v>82</v>
      </c>
      <c r="C84" s="72">
        <v>1700.68</v>
      </c>
      <c r="D84" s="70">
        <v>0</v>
      </c>
      <c r="E84" s="72">
        <f t="shared" si="10"/>
        <v>1700.68</v>
      </c>
      <c r="F84" s="70">
        <f t="shared" si="11"/>
        <v>136.05440000000002</v>
      </c>
      <c r="G84" s="76"/>
      <c r="H84" s="74" t="e">
        <f t="shared" si="12"/>
        <v>#REF!</v>
      </c>
      <c r="I84" s="324">
        <v>0</v>
      </c>
      <c r="J84" s="325" t="e">
        <f>#REF!+#REF!</f>
        <v>#REF!</v>
      </c>
      <c r="K84" s="391">
        <f t="shared" si="15"/>
        <v>0</v>
      </c>
      <c r="L84" s="72">
        <f t="shared" si="14"/>
        <v>0</v>
      </c>
      <c r="M84" s="71"/>
      <c r="N84" s="71"/>
    </row>
    <row r="85" spans="1:14" ht="16.5" customHeight="1" x14ac:dyDescent="0.25">
      <c r="A85" s="313"/>
      <c r="B85" s="73" t="s">
        <v>112</v>
      </c>
      <c r="C85" s="72">
        <v>10.66</v>
      </c>
      <c r="D85" s="70">
        <v>10.66</v>
      </c>
      <c r="E85" s="72">
        <f t="shared" si="10"/>
        <v>0</v>
      </c>
      <c r="F85" s="70">
        <f t="shared" si="11"/>
        <v>0.8528</v>
      </c>
      <c r="G85" s="311">
        <v>44477</v>
      </c>
      <c r="H85" s="74" t="e">
        <f t="shared" si="12"/>
        <v>#REF!</v>
      </c>
      <c r="I85" s="324" t="e">
        <f t="shared" si="13"/>
        <v>#REF!</v>
      </c>
      <c r="J85" s="325" t="e">
        <f>#REF!+#REF!</f>
        <v>#REF!</v>
      </c>
      <c r="K85" s="391">
        <f t="shared" si="15"/>
        <v>0</v>
      </c>
      <c r="L85" s="72">
        <f t="shared" si="14"/>
        <v>0</v>
      </c>
      <c r="M85" s="71"/>
      <c r="N85" s="71"/>
    </row>
    <row r="86" spans="1:14" ht="16.5" customHeight="1" x14ac:dyDescent="0.25">
      <c r="A86" s="313"/>
      <c r="B86" s="73" t="s">
        <v>85</v>
      </c>
      <c r="C86" s="72">
        <v>13.86</v>
      </c>
      <c r="D86" s="70">
        <v>13.86</v>
      </c>
      <c r="E86" s="72">
        <f t="shared" si="10"/>
        <v>0</v>
      </c>
      <c r="F86" s="70">
        <f t="shared" si="11"/>
        <v>1.1088</v>
      </c>
      <c r="G86" s="311">
        <v>44477</v>
      </c>
      <c r="H86" s="74" t="e">
        <f t="shared" si="12"/>
        <v>#REF!</v>
      </c>
      <c r="I86" s="324" t="e">
        <f t="shared" si="13"/>
        <v>#REF!</v>
      </c>
      <c r="J86" s="325" t="e">
        <f>#REF!+#REF!</f>
        <v>#REF!</v>
      </c>
      <c r="K86" s="391">
        <f t="shared" si="15"/>
        <v>0</v>
      </c>
      <c r="L86" s="72">
        <f t="shared" si="14"/>
        <v>0</v>
      </c>
      <c r="M86" s="71"/>
      <c r="N86" s="71"/>
    </row>
    <row r="87" spans="1:14" ht="16.5" customHeight="1" x14ac:dyDescent="0.25">
      <c r="A87" s="313"/>
      <c r="B87" s="73" t="s">
        <v>87</v>
      </c>
      <c r="C87" s="72">
        <v>4.09</v>
      </c>
      <c r="D87" s="70">
        <v>4.09</v>
      </c>
      <c r="E87" s="72">
        <f t="shared" si="10"/>
        <v>0</v>
      </c>
      <c r="F87" s="70">
        <f t="shared" si="11"/>
        <v>0.32719999999999999</v>
      </c>
      <c r="G87" s="311">
        <v>44477</v>
      </c>
      <c r="H87" s="74" t="e">
        <f t="shared" si="12"/>
        <v>#REF!</v>
      </c>
      <c r="I87" s="324" t="e">
        <f t="shared" si="13"/>
        <v>#REF!</v>
      </c>
      <c r="J87" s="325" t="e">
        <f>#REF!+#REF!</f>
        <v>#REF!</v>
      </c>
      <c r="K87" s="391">
        <f t="shared" si="15"/>
        <v>0</v>
      </c>
      <c r="L87" s="72">
        <f t="shared" si="14"/>
        <v>0</v>
      </c>
      <c r="M87" s="71"/>
      <c r="N87" s="71"/>
    </row>
    <row r="88" spans="1:14" ht="16.5" customHeight="1" x14ac:dyDescent="0.25">
      <c r="A88" s="313"/>
      <c r="B88" s="73" t="s">
        <v>88</v>
      </c>
      <c r="C88" s="72">
        <v>102.54</v>
      </c>
      <c r="D88" s="70">
        <v>102.54</v>
      </c>
      <c r="E88" s="72">
        <f t="shared" si="10"/>
        <v>0</v>
      </c>
      <c r="F88" s="70">
        <f t="shared" si="11"/>
        <v>8.2032000000000007</v>
      </c>
      <c r="G88" s="311">
        <v>44477</v>
      </c>
      <c r="H88" s="74" t="e">
        <f t="shared" si="12"/>
        <v>#REF!</v>
      </c>
      <c r="I88" s="324" t="e">
        <f t="shared" si="13"/>
        <v>#REF!</v>
      </c>
      <c r="J88" s="325" t="e">
        <f>#REF!+#REF!</f>
        <v>#REF!</v>
      </c>
      <c r="K88" s="391">
        <f t="shared" si="15"/>
        <v>0</v>
      </c>
      <c r="L88" s="72">
        <f t="shared" si="14"/>
        <v>0</v>
      </c>
      <c r="M88" s="71"/>
      <c r="N88" s="71"/>
    </row>
    <row r="89" spans="1:14" ht="16.5" customHeight="1" x14ac:dyDescent="0.25">
      <c r="A89" s="313"/>
      <c r="B89" s="73" t="s">
        <v>89</v>
      </c>
      <c r="C89" s="72">
        <v>59.68</v>
      </c>
      <c r="D89" s="70">
        <v>59.68</v>
      </c>
      <c r="E89" s="72">
        <f t="shared" si="10"/>
        <v>0</v>
      </c>
      <c r="F89" s="70">
        <f t="shared" si="11"/>
        <v>4.7744</v>
      </c>
      <c r="G89" s="311">
        <v>44477</v>
      </c>
      <c r="H89" s="74" t="e">
        <f t="shared" si="12"/>
        <v>#REF!</v>
      </c>
      <c r="I89" s="324" t="e">
        <f t="shared" si="13"/>
        <v>#REF!</v>
      </c>
      <c r="J89" s="325" t="e">
        <f>#REF!+#REF!</f>
        <v>#REF!</v>
      </c>
      <c r="K89" s="391">
        <f t="shared" si="15"/>
        <v>0</v>
      </c>
      <c r="L89" s="72">
        <f t="shared" si="14"/>
        <v>0</v>
      </c>
      <c r="M89" s="71"/>
      <c r="N89" s="71"/>
    </row>
    <row r="90" spans="1:14" ht="16.5" customHeight="1" x14ac:dyDescent="0.25">
      <c r="A90" s="313"/>
      <c r="B90" s="73" t="s">
        <v>113</v>
      </c>
      <c r="C90" s="72">
        <v>385.38</v>
      </c>
      <c r="D90" s="70">
        <v>385.38</v>
      </c>
      <c r="E90" s="72">
        <f t="shared" si="10"/>
        <v>0</v>
      </c>
      <c r="F90" s="70">
        <f t="shared" si="11"/>
        <v>30.830400000000001</v>
      </c>
      <c r="G90" s="311">
        <v>44477</v>
      </c>
      <c r="H90" s="74" t="e">
        <f t="shared" si="12"/>
        <v>#REF!</v>
      </c>
      <c r="I90" s="324" t="e">
        <f t="shared" si="13"/>
        <v>#REF!</v>
      </c>
      <c r="J90" s="325" t="e">
        <f>#REF!+#REF!</f>
        <v>#REF!</v>
      </c>
      <c r="K90" s="391">
        <f t="shared" si="15"/>
        <v>0</v>
      </c>
      <c r="L90" s="72">
        <f t="shared" si="14"/>
        <v>0</v>
      </c>
      <c r="M90" s="71"/>
      <c r="N90" s="71"/>
    </row>
    <row r="91" spans="1:14" ht="16.5" customHeight="1" x14ac:dyDescent="0.25">
      <c r="A91" s="313"/>
      <c r="B91" s="73" t="s">
        <v>222</v>
      </c>
      <c r="C91" s="72">
        <v>833.25</v>
      </c>
      <c r="D91" s="70">
        <v>833.25</v>
      </c>
      <c r="E91" s="72">
        <f t="shared" si="10"/>
        <v>0</v>
      </c>
      <c r="F91" s="70">
        <f t="shared" si="11"/>
        <v>66.66</v>
      </c>
      <c r="G91" s="311">
        <v>44477</v>
      </c>
      <c r="H91" s="74" t="e">
        <f t="shared" si="12"/>
        <v>#REF!</v>
      </c>
      <c r="I91" s="324" t="e">
        <f t="shared" si="13"/>
        <v>#REF!</v>
      </c>
      <c r="J91" s="325" t="e">
        <f>#REF!+#REF!</f>
        <v>#REF!</v>
      </c>
      <c r="K91" s="391">
        <f t="shared" si="15"/>
        <v>0</v>
      </c>
      <c r="L91" s="72">
        <f t="shared" si="14"/>
        <v>0</v>
      </c>
      <c r="M91" s="71"/>
      <c r="N91" s="71"/>
    </row>
    <row r="92" spans="1:14" ht="16.5" customHeight="1" x14ac:dyDescent="0.25">
      <c r="A92" s="313"/>
      <c r="B92" s="73" t="s">
        <v>90</v>
      </c>
      <c r="C92" s="72">
        <v>14.74</v>
      </c>
      <c r="D92" s="70">
        <v>14.74</v>
      </c>
      <c r="E92" s="72">
        <f t="shared" si="10"/>
        <v>0</v>
      </c>
      <c r="F92" s="70">
        <f t="shared" si="11"/>
        <v>1.1792</v>
      </c>
      <c r="G92" s="311">
        <v>44477</v>
      </c>
      <c r="H92" s="74" t="e">
        <f t="shared" si="12"/>
        <v>#REF!</v>
      </c>
      <c r="I92" s="324" t="e">
        <f t="shared" si="13"/>
        <v>#REF!</v>
      </c>
      <c r="J92" s="325" t="e">
        <f>#REF!+#REF!</f>
        <v>#REF!</v>
      </c>
      <c r="K92" s="391">
        <f t="shared" si="15"/>
        <v>0</v>
      </c>
      <c r="L92" s="72">
        <f t="shared" si="14"/>
        <v>0</v>
      </c>
      <c r="M92" s="71"/>
      <c r="N92" s="71"/>
    </row>
    <row r="93" spans="1:14" ht="16.5" customHeight="1" x14ac:dyDescent="0.25">
      <c r="A93" s="313"/>
      <c r="B93" s="73" t="s">
        <v>93</v>
      </c>
      <c r="C93" s="72">
        <v>51.27</v>
      </c>
      <c r="D93" s="70">
        <v>51.27</v>
      </c>
      <c r="E93" s="72">
        <f t="shared" si="10"/>
        <v>0</v>
      </c>
      <c r="F93" s="70">
        <f t="shared" si="11"/>
        <v>4.1016000000000004</v>
      </c>
      <c r="G93" s="311">
        <v>44477</v>
      </c>
      <c r="H93" s="74" t="e">
        <f>H92</f>
        <v>#REF!</v>
      </c>
      <c r="I93" s="324" t="e">
        <f t="shared" si="13"/>
        <v>#REF!</v>
      </c>
      <c r="J93" s="325" t="e">
        <f>#REF!+#REF!</f>
        <v>#REF!</v>
      </c>
      <c r="K93" s="391">
        <f>K92</f>
        <v>0</v>
      </c>
      <c r="L93" s="72">
        <f t="shared" si="14"/>
        <v>0</v>
      </c>
      <c r="M93" s="71"/>
      <c r="N93" s="71"/>
    </row>
    <row r="94" spans="1:14" ht="16.5" customHeight="1" x14ac:dyDescent="0.25">
      <c r="A94" s="313"/>
      <c r="B94" s="73" t="s">
        <v>94</v>
      </c>
      <c r="C94" s="72">
        <v>2031</v>
      </c>
      <c r="D94" s="70">
        <v>0</v>
      </c>
      <c r="E94" s="72">
        <f t="shared" si="10"/>
        <v>2031</v>
      </c>
      <c r="F94" s="70">
        <f t="shared" si="11"/>
        <v>162.47999999999999</v>
      </c>
      <c r="G94" s="76"/>
      <c r="H94" s="74" t="e">
        <f>#REF!</f>
        <v>#REF!</v>
      </c>
      <c r="I94" s="324">
        <v>0</v>
      </c>
      <c r="J94" s="325" t="e">
        <f>#REF!+#REF!</f>
        <v>#REF!</v>
      </c>
      <c r="K94" s="391">
        <f t="shared" si="15"/>
        <v>0</v>
      </c>
      <c r="L94" s="72">
        <f t="shared" si="14"/>
        <v>0</v>
      </c>
      <c r="M94" s="71"/>
      <c r="N94" s="71"/>
    </row>
    <row r="95" spans="1:14" ht="16.5" customHeight="1" x14ac:dyDescent="0.25">
      <c r="A95" s="313"/>
      <c r="B95" s="73" t="s">
        <v>95</v>
      </c>
      <c r="C95" s="72">
        <v>1079.67</v>
      </c>
      <c r="D95" s="70">
        <v>0</v>
      </c>
      <c r="E95" s="72">
        <f t="shared" si="10"/>
        <v>1079.67</v>
      </c>
      <c r="F95" s="70">
        <f t="shared" si="11"/>
        <v>86.37360000000001</v>
      </c>
      <c r="G95" s="76"/>
      <c r="H95" s="74" t="e">
        <f t="shared" si="12"/>
        <v>#REF!</v>
      </c>
      <c r="I95" s="324">
        <v>0</v>
      </c>
      <c r="J95" s="325" t="e">
        <f>#REF!+#REF!</f>
        <v>#REF!</v>
      </c>
      <c r="K95" s="391">
        <f t="shared" si="15"/>
        <v>0</v>
      </c>
      <c r="L95" s="72">
        <f t="shared" ref="L95:L102" si="16">SUM(E95)*K95</f>
        <v>0</v>
      </c>
      <c r="M95" s="71"/>
      <c r="N95" s="71"/>
    </row>
    <row r="96" spans="1:14" ht="16.5" customHeight="1" x14ac:dyDescent="0.25">
      <c r="A96" s="313"/>
      <c r="B96" s="73" t="s">
        <v>223</v>
      </c>
      <c r="C96" s="72">
        <v>770.84</v>
      </c>
      <c r="D96" s="70">
        <v>770.84</v>
      </c>
      <c r="E96" s="72">
        <f t="shared" ref="E96:E102" si="17">C96-D96</f>
        <v>0</v>
      </c>
      <c r="F96" s="70">
        <f t="shared" ref="F96:F102" si="18">C96*8%</f>
        <v>61.667200000000001</v>
      </c>
      <c r="G96" s="311">
        <v>44477</v>
      </c>
      <c r="H96" s="74" t="e">
        <f t="shared" si="12"/>
        <v>#REF!</v>
      </c>
      <c r="I96" s="324" t="e">
        <f t="shared" ref="I96:I102" si="19">G96-H96</f>
        <v>#REF!</v>
      </c>
      <c r="J96" s="325" t="e">
        <f>#REF!+#REF!</f>
        <v>#REF!</v>
      </c>
      <c r="K96" s="391">
        <f t="shared" si="15"/>
        <v>0</v>
      </c>
      <c r="L96" s="72">
        <f t="shared" si="16"/>
        <v>0</v>
      </c>
      <c r="M96" s="71"/>
      <c r="N96" s="71"/>
    </row>
    <row r="97" spans="1:14" ht="16.5" customHeight="1" x14ac:dyDescent="0.25">
      <c r="A97" s="313"/>
      <c r="B97" s="73" t="s">
        <v>15</v>
      </c>
      <c r="C97" s="72">
        <v>12.91</v>
      </c>
      <c r="D97" s="70">
        <v>12.91</v>
      </c>
      <c r="E97" s="72">
        <f t="shared" si="17"/>
        <v>0</v>
      </c>
      <c r="F97" s="70">
        <f t="shared" si="18"/>
        <v>1.0327999999999999</v>
      </c>
      <c r="G97" s="311">
        <v>44477</v>
      </c>
      <c r="H97" s="74" t="e">
        <f t="shared" ref="H97:H102" si="20">H95</f>
        <v>#REF!</v>
      </c>
      <c r="I97" s="324" t="e">
        <f t="shared" si="19"/>
        <v>#REF!</v>
      </c>
      <c r="J97" s="325" t="e">
        <f>#REF!+#REF!</f>
        <v>#REF!</v>
      </c>
      <c r="K97" s="391">
        <f t="shared" si="15"/>
        <v>0</v>
      </c>
      <c r="L97" s="72">
        <f t="shared" si="16"/>
        <v>0</v>
      </c>
      <c r="M97" s="71"/>
      <c r="N97" s="71"/>
    </row>
    <row r="98" spans="1:14" ht="16.5" customHeight="1" x14ac:dyDescent="0.25">
      <c r="A98" s="313"/>
      <c r="B98" s="73" t="s">
        <v>136</v>
      </c>
      <c r="C98" s="72">
        <v>770.84</v>
      </c>
      <c r="D98" s="70">
        <v>770.84</v>
      </c>
      <c r="E98" s="72">
        <f t="shared" si="17"/>
        <v>0</v>
      </c>
      <c r="F98" s="70">
        <f t="shared" si="18"/>
        <v>61.667200000000001</v>
      </c>
      <c r="G98" s="311">
        <v>44477</v>
      </c>
      <c r="H98" s="74" t="e">
        <f>H97</f>
        <v>#REF!</v>
      </c>
      <c r="I98" s="324" t="e">
        <f t="shared" si="19"/>
        <v>#REF!</v>
      </c>
      <c r="J98" s="325" t="e">
        <f>#REF!+#REF!</f>
        <v>#REF!</v>
      </c>
      <c r="K98" s="391">
        <f>K97</f>
        <v>0</v>
      </c>
      <c r="L98" s="72">
        <f t="shared" si="16"/>
        <v>0</v>
      </c>
      <c r="M98" s="71"/>
      <c r="N98" s="71"/>
    </row>
    <row r="99" spans="1:14" ht="16.5" customHeight="1" x14ac:dyDescent="0.25">
      <c r="A99" s="313"/>
      <c r="B99" s="73" t="s">
        <v>98</v>
      </c>
      <c r="C99" s="72">
        <v>2558.4499999999998</v>
      </c>
      <c r="D99" s="70">
        <v>2558.4499999999998</v>
      </c>
      <c r="E99" s="72">
        <f t="shared" si="17"/>
        <v>0</v>
      </c>
      <c r="F99" s="70">
        <f t="shared" si="18"/>
        <v>204.67599999999999</v>
      </c>
      <c r="G99" s="76">
        <v>44539</v>
      </c>
      <c r="H99" s="74" t="e">
        <f>#REF!</f>
        <v>#REF!</v>
      </c>
      <c r="I99" s="324" t="e">
        <f t="shared" si="19"/>
        <v>#REF!</v>
      </c>
      <c r="J99" s="325" t="e">
        <f>#REF!+#REF!</f>
        <v>#REF!</v>
      </c>
      <c r="K99" s="391">
        <f t="shared" si="15"/>
        <v>0</v>
      </c>
      <c r="L99" s="72">
        <f t="shared" si="16"/>
        <v>0</v>
      </c>
      <c r="M99" s="71"/>
      <c r="N99" s="71"/>
    </row>
    <row r="100" spans="1:14" ht="16.5" customHeight="1" x14ac:dyDescent="0.25">
      <c r="A100" s="313"/>
      <c r="B100" s="73" t="s">
        <v>99</v>
      </c>
      <c r="C100" s="72">
        <v>3052.3</v>
      </c>
      <c r="D100" s="70">
        <v>0</v>
      </c>
      <c r="E100" s="72">
        <f t="shared" si="17"/>
        <v>3052.3</v>
      </c>
      <c r="F100" s="70">
        <f t="shared" si="18"/>
        <v>244.18400000000003</v>
      </c>
      <c r="G100" s="76"/>
      <c r="H100" s="74" t="e">
        <f t="shared" si="20"/>
        <v>#REF!</v>
      </c>
      <c r="I100" s="324">
        <v>0</v>
      </c>
      <c r="J100" s="325" t="e">
        <f>#REF!+#REF!</f>
        <v>#REF!</v>
      </c>
      <c r="K100" s="391">
        <f t="shared" si="15"/>
        <v>0</v>
      </c>
      <c r="L100" s="72">
        <f t="shared" si="16"/>
        <v>0</v>
      </c>
      <c r="M100" s="71"/>
      <c r="N100" s="71"/>
    </row>
    <row r="101" spans="1:14" ht="16.5" customHeight="1" x14ac:dyDescent="0.25">
      <c r="A101" s="313"/>
      <c r="B101" s="73" t="s">
        <v>100</v>
      </c>
      <c r="C101" s="72">
        <v>1603.22</v>
      </c>
      <c r="D101" s="70">
        <v>0</v>
      </c>
      <c r="E101" s="72">
        <f t="shared" si="17"/>
        <v>1603.22</v>
      </c>
      <c r="F101" s="70">
        <f t="shared" si="18"/>
        <v>128.2576</v>
      </c>
      <c r="G101" s="76"/>
      <c r="H101" s="74" t="e">
        <f t="shared" si="20"/>
        <v>#REF!</v>
      </c>
      <c r="I101" s="324">
        <v>0</v>
      </c>
      <c r="J101" s="325" t="e">
        <f>#REF!+#REF!</f>
        <v>#REF!</v>
      </c>
      <c r="K101" s="391">
        <f t="shared" si="15"/>
        <v>0</v>
      </c>
      <c r="L101" s="72">
        <f t="shared" si="16"/>
        <v>0</v>
      </c>
      <c r="M101" s="71"/>
      <c r="N101" s="71"/>
    </row>
    <row r="102" spans="1:14" ht="16.5" customHeight="1" x14ac:dyDescent="0.25">
      <c r="A102" s="176">
        <v>1</v>
      </c>
      <c r="B102" s="73" t="s">
        <v>101</v>
      </c>
      <c r="C102" s="72">
        <v>5.05</v>
      </c>
      <c r="D102" s="70">
        <f t="shared" ref="D102" si="21">ROUND(C102*A102,2)</f>
        <v>5.05</v>
      </c>
      <c r="E102" s="72">
        <f t="shared" si="17"/>
        <v>0</v>
      </c>
      <c r="F102" s="70">
        <f t="shared" si="18"/>
        <v>0.40399999999999997</v>
      </c>
      <c r="G102" s="311">
        <v>44477</v>
      </c>
      <c r="H102" s="74" t="e">
        <f t="shared" si="20"/>
        <v>#REF!</v>
      </c>
      <c r="I102" s="324" t="e">
        <f t="shared" si="19"/>
        <v>#REF!</v>
      </c>
      <c r="J102" s="325" t="e">
        <f>#REF!+#REF!</f>
        <v>#REF!</v>
      </c>
      <c r="K102" s="391">
        <f t="shared" si="15"/>
        <v>0</v>
      </c>
      <c r="L102" s="72">
        <f t="shared" si="16"/>
        <v>0</v>
      </c>
      <c r="M102" s="71" t="s">
        <v>158</v>
      </c>
      <c r="N102" s="71" t="s">
        <v>161</v>
      </c>
    </row>
    <row r="103" spans="1:14" s="65" customFormat="1" ht="17.25" customHeight="1" x14ac:dyDescent="0.25">
      <c r="A103" s="190"/>
      <c r="B103" s="181" t="s">
        <v>162</v>
      </c>
      <c r="C103" s="181">
        <f>SUM(C34:C102)</f>
        <v>56287.609999999986</v>
      </c>
      <c r="D103" s="181">
        <f>SUM(D34:D102)</f>
        <v>21418.860000000004</v>
      </c>
      <c r="E103" s="317">
        <f>SUM(E34:E102)</f>
        <v>34868.75</v>
      </c>
      <c r="F103" s="181">
        <f>SUM(F34:F102)</f>
        <v>4503.0087999999996</v>
      </c>
      <c r="G103" s="182"/>
      <c r="H103" s="182"/>
      <c r="I103" s="182"/>
      <c r="J103" s="181"/>
      <c r="K103" s="181"/>
      <c r="L103" s="317">
        <f>SUM(L34:L102)</f>
        <v>0</v>
      </c>
      <c r="M103" s="186"/>
      <c r="N103" s="186"/>
    </row>
    <row r="104" spans="1:14" ht="15.75" x14ac:dyDescent="0.25">
      <c r="A104" s="186"/>
      <c r="B104" s="187" t="s">
        <v>103</v>
      </c>
      <c r="C104" s="188">
        <f>SUM(C103+C33+C17)</f>
        <v>140541.71</v>
      </c>
      <c r="D104" s="188">
        <f>D103+D33+D17</f>
        <v>22501.880000000005</v>
      </c>
      <c r="E104" s="188">
        <f>E103+E33+E17</f>
        <v>118039.82999999999</v>
      </c>
      <c r="F104" s="188">
        <f>F103+F33+F17</f>
        <v>11243.336799999999</v>
      </c>
      <c r="G104" s="189"/>
      <c r="H104" s="189"/>
      <c r="I104" s="189"/>
      <c r="J104" s="326"/>
      <c r="K104" s="390"/>
      <c r="L104" s="325">
        <f>SUM(L103+L33+L17)</f>
        <v>0</v>
      </c>
    </row>
    <row r="106" spans="1:14" x14ac:dyDescent="0.25">
      <c r="B106" s="166"/>
      <c r="C106" s="220"/>
      <c r="D106" s="166"/>
      <c r="E106" s="166"/>
      <c r="F106" s="166"/>
      <c r="G106" s="67"/>
      <c r="H106" s="67"/>
      <c r="I106" s="67"/>
      <c r="J106" s="67"/>
      <c r="K106" s="67"/>
      <c r="L106" s="67"/>
    </row>
    <row r="107" spans="1:14" x14ac:dyDescent="0.25">
      <c r="B107" s="166"/>
      <c r="C107" s="97"/>
      <c r="D107" s="97"/>
      <c r="E107" s="166"/>
      <c r="F107" s="166"/>
    </row>
    <row r="108" spans="1:14" x14ac:dyDescent="0.25">
      <c r="B108" s="166"/>
      <c r="C108" s="97"/>
      <c r="D108" s="97"/>
      <c r="E108" s="166"/>
      <c r="F108" s="166"/>
    </row>
    <row r="109" spans="1:14" x14ac:dyDescent="0.25">
      <c r="B109" s="166"/>
      <c r="C109" s="97"/>
      <c r="D109" s="97"/>
      <c r="E109" s="166"/>
      <c r="F109" s="166"/>
    </row>
    <row r="110" spans="1:14" x14ac:dyDescent="0.25">
      <c r="C110" s="97"/>
      <c r="D110" s="97"/>
    </row>
    <row r="111" spans="1:14" x14ac:dyDescent="0.25">
      <c r="C111" s="97"/>
      <c r="D111" s="97"/>
    </row>
  </sheetData>
  <autoFilter ref="A4:N102" xr:uid="{00000000-0009-0000-0000-000000000000}"/>
  <pageMargins left="0.51181102362204722" right="0.51181102362204722" top="0.47244094488188981" bottom="0.47244094488188981" header="0.31496062992125984" footer="0.31496062992125984"/>
  <pageSetup paperSize="9" scale="76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285A1-9059-4581-89D4-654E14F1D23D}">
  <sheetPr>
    <tabColor rgb="FF00B050"/>
    <pageSetUpPr fitToPage="1"/>
  </sheetPr>
  <dimension ref="A1:P109"/>
  <sheetViews>
    <sheetView showGridLines="0" topLeftCell="A90" workbookViewId="0">
      <selection activeCell="R110" sqref="R110"/>
    </sheetView>
  </sheetViews>
  <sheetFormatPr defaultRowHeight="15" x14ac:dyDescent="0.25"/>
  <cols>
    <col min="1" max="1" width="9.85546875" style="60" customWidth="1"/>
    <col min="2" max="2" width="43.28515625" style="60" customWidth="1"/>
    <col min="3" max="3" width="14.140625" style="59" customWidth="1"/>
    <col min="4" max="4" width="14.42578125" style="69" customWidth="1"/>
    <col min="5" max="5" width="16.28515625" style="69" customWidth="1"/>
    <col min="6" max="6" width="13.5703125" style="69" customWidth="1"/>
    <col min="7" max="7" width="12.28515625" style="60" hidden="1" customWidth="1"/>
    <col min="8" max="8" width="12.85546875" style="60" hidden="1" customWidth="1"/>
    <col min="9" max="9" width="14.28515625" style="60" hidden="1" customWidth="1"/>
    <col min="10" max="11" width="17.28515625" style="60" hidden="1" customWidth="1"/>
    <col min="12" max="12" width="10" style="60" hidden="1" customWidth="1"/>
    <col min="13" max="13" width="8.140625" style="60" hidden="1" customWidth="1"/>
    <col min="14" max="14" width="5" style="60" hidden="1" customWidth="1"/>
    <col min="15" max="15" width="5.42578125" style="60" hidden="1" customWidth="1"/>
    <col min="16" max="16" width="5.140625" style="60" hidden="1" customWidth="1"/>
    <col min="17" max="35" width="9.140625" style="60" customWidth="1"/>
    <col min="36" max="16384" width="9.140625" style="60"/>
  </cols>
  <sheetData>
    <row r="1" spans="1:14" ht="17.25" customHeight="1" x14ac:dyDescent="0.25">
      <c r="A1" s="221"/>
      <c r="B1" s="303" t="s">
        <v>141</v>
      </c>
      <c r="C1" s="304"/>
      <c r="D1" s="222"/>
      <c r="E1" s="83"/>
      <c r="F1" s="83"/>
      <c r="G1" s="223"/>
      <c r="H1" s="223"/>
      <c r="I1" s="223"/>
      <c r="J1" s="223"/>
      <c r="K1" s="223"/>
      <c r="L1" s="223"/>
      <c r="M1" s="84"/>
    </row>
    <row r="2" spans="1:14" ht="15.75" x14ac:dyDescent="0.25">
      <c r="A2" s="59"/>
      <c r="B2" s="305" t="s">
        <v>227</v>
      </c>
      <c r="C2" s="306"/>
      <c r="D2" s="58"/>
      <c r="E2" s="58"/>
      <c r="F2" s="58"/>
      <c r="G2" s="59"/>
      <c r="H2" s="59"/>
      <c r="I2" s="59"/>
      <c r="J2" s="59"/>
      <c r="K2" s="59"/>
      <c r="L2" s="59"/>
      <c r="M2" s="85"/>
    </row>
    <row r="3" spans="1:14" ht="15.75" x14ac:dyDescent="0.25">
      <c r="A3" s="224"/>
      <c r="B3" s="307" t="s">
        <v>211</v>
      </c>
      <c r="C3" s="255"/>
      <c r="D3" s="88"/>
      <c r="E3" s="88"/>
      <c r="F3" s="88"/>
      <c r="G3" s="224"/>
      <c r="H3" s="224"/>
      <c r="I3" s="224"/>
      <c r="J3" s="224"/>
      <c r="K3" s="224"/>
      <c r="L3" s="224"/>
      <c r="M3" s="89"/>
    </row>
    <row r="4" spans="1:14" s="217" customFormat="1" ht="43.5" customHeight="1" x14ac:dyDescent="0.25">
      <c r="A4" s="62" t="s">
        <v>143</v>
      </c>
      <c r="B4" s="63" t="s">
        <v>144</v>
      </c>
      <c r="C4" s="58" t="s">
        <v>140</v>
      </c>
      <c r="D4" s="218" t="s">
        <v>145</v>
      </c>
      <c r="E4" s="58" t="s">
        <v>146</v>
      </c>
      <c r="F4" s="58" t="s">
        <v>212</v>
      </c>
      <c r="G4" s="58" t="s">
        <v>147</v>
      </c>
      <c r="H4" s="310" t="s">
        <v>213</v>
      </c>
      <c r="I4" s="310" t="s">
        <v>214</v>
      </c>
      <c r="J4" s="361" t="s">
        <v>252</v>
      </c>
      <c r="K4" s="361" t="s">
        <v>256</v>
      </c>
      <c r="L4" s="58" t="s">
        <v>148</v>
      </c>
      <c r="M4" s="58" t="s">
        <v>149</v>
      </c>
    </row>
    <row r="5" spans="1:14" ht="16.5" customHeight="1" x14ac:dyDescent="0.25">
      <c r="A5" s="176">
        <v>0.65</v>
      </c>
      <c r="B5" s="73" t="s">
        <v>1</v>
      </c>
      <c r="C5" s="72">
        <v>2488.71</v>
      </c>
      <c r="D5" s="70">
        <v>0</v>
      </c>
      <c r="E5" s="72">
        <f>C5-D5</f>
        <v>2488.71</v>
      </c>
      <c r="F5" s="72">
        <f>C5*8%</f>
        <v>199.0968</v>
      </c>
      <c r="G5" s="76"/>
      <c r="H5" s="76">
        <v>44506</v>
      </c>
      <c r="I5" s="244">
        <v>0</v>
      </c>
      <c r="J5" s="391">
        <f>'RESUMO DE CÁLCULO'!B43</f>
        <v>0</v>
      </c>
      <c r="K5" s="72">
        <f t="shared" ref="K5:K16" si="0">SUM(E5)*J5</f>
        <v>0</v>
      </c>
      <c r="L5" s="71" t="s">
        <v>150</v>
      </c>
      <c r="M5" s="71" t="s">
        <v>152</v>
      </c>
    </row>
    <row r="6" spans="1:14" ht="16.5" customHeight="1" x14ac:dyDescent="0.25">
      <c r="A6" s="176">
        <v>0.65</v>
      </c>
      <c r="B6" s="73" t="s">
        <v>2</v>
      </c>
      <c r="C6" s="72">
        <v>2101.0100000000002</v>
      </c>
      <c r="D6" s="70">
        <v>0</v>
      </c>
      <c r="E6" s="72">
        <f t="shared" ref="E6:E16" si="1">C6-D6</f>
        <v>2101.0100000000002</v>
      </c>
      <c r="F6" s="72">
        <f t="shared" ref="F6:F16" si="2">C6*8%</f>
        <v>168.08080000000001</v>
      </c>
      <c r="G6" s="76"/>
      <c r="H6" s="74">
        <f>H5</f>
        <v>44506</v>
      </c>
      <c r="I6" s="244">
        <v>0</v>
      </c>
      <c r="J6" s="391">
        <f>J5</f>
        <v>0</v>
      </c>
      <c r="K6" s="72">
        <f t="shared" si="0"/>
        <v>0</v>
      </c>
      <c r="L6" s="71" t="s">
        <v>150</v>
      </c>
      <c r="M6" s="71" t="s">
        <v>154</v>
      </c>
    </row>
    <row r="7" spans="1:14" ht="16.5" customHeight="1" x14ac:dyDescent="0.25">
      <c r="A7" s="176">
        <v>0.65</v>
      </c>
      <c r="B7" s="73" t="s">
        <v>3</v>
      </c>
      <c r="C7" s="72">
        <v>2714.03</v>
      </c>
      <c r="D7" s="70">
        <v>0</v>
      </c>
      <c r="E7" s="72">
        <f t="shared" si="1"/>
        <v>2714.03</v>
      </c>
      <c r="F7" s="72">
        <f t="shared" si="2"/>
        <v>217.12240000000003</v>
      </c>
      <c r="G7" s="311"/>
      <c r="H7" s="74">
        <f>H6</f>
        <v>44506</v>
      </c>
      <c r="I7" s="244">
        <v>0</v>
      </c>
      <c r="J7" s="391">
        <f t="shared" ref="J7:J69" si="3">J6</f>
        <v>0</v>
      </c>
      <c r="K7" s="72">
        <f t="shared" si="0"/>
        <v>0</v>
      </c>
      <c r="L7" s="71" t="s">
        <v>150</v>
      </c>
      <c r="M7" s="71" t="s">
        <v>154</v>
      </c>
    </row>
    <row r="8" spans="1:14" ht="16.5" customHeight="1" x14ac:dyDescent="0.25">
      <c r="A8" s="176">
        <v>0.65</v>
      </c>
      <c r="B8" s="73" t="s">
        <v>5</v>
      </c>
      <c r="C8" s="72">
        <v>8680.7000000000007</v>
      </c>
      <c r="D8" s="70">
        <v>0</v>
      </c>
      <c r="E8" s="72">
        <f t="shared" si="1"/>
        <v>8680.7000000000007</v>
      </c>
      <c r="F8" s="72">
        <f t="shared" si="2"/>
        <v>694.45600000000002</v>
      </c>
      <c r="G8" s="311"/>
      <c r="H8" s="74">
        <f t="shared" ref="H8:H32" si="4">H7</f>
        <v>44506</v>
      </c>
      <c r="I8" s="244">
        <v>0</v>
      </c>
      <c r="J8" s="391">
        <f t="shared" si="3"/>
        <v>0</v>
      </c>
      <c r="K8" s="72">
        <f t="shared" si="0"/>
        <v>0</v>
      </c>
      <c r="L8" s="71" t="s">
        <v>150</v>
      </c>
      <c r="M8" s="71" t="s">
        <v>152</v>
      </c>
    </row>
    <row r="9" spans="1:14" ht="16.5" customHeight="1" x14ac:dyDescent="0.25">
      <c r="A9" s="176">
        <v>0.65</v>
      </c>
      <c r="B9" s="73" t="s">
        <v>6</v>
      </c>
      <c r="C9" s="72">
        <v>3668.58</v>
      </c>
      <c r="D9" s="70">
        <v>0</v>
      </c>
      <c r="E9" s="72">
        <f t="shared" si="1"/>
        <v>3668.58</v>
      </c>
      <c r="F9" s="72">
        <f t="shared" si="2"/>
        <v>293.4864</v>
      </c>
      <c r="G9" s="311"/>
      <c r="H9" s="74">
        <f t="shared" si="4"/>
        <v>44506</v>
      </c>
      <c r="I9" s="244">
        <v>0</v>
      </c>
      <c r="J9" s="391">
        <f t="shared" si="3"/>
        <v>0</v>
      </c>
      <c r="K9" s="72">
        <f t="shared" si="0"/>
        <v>0</v>
      </c>
      <c r="L9" s="71" t="s">
        <v>150</v>
      </c>
      <c r="M9" s="71" t="s">
        <v>152</v>
      </c>
    </row>
    <row r="10" spans="1:14" ht="16.5" customHeight="1" x14ac:dyDescent="0.25">
      <c r="A10" s="176">
        <v>0.65</v>
      </c>
      <c r="B10" s="73" t="s">
        <v>7</v>
      </c>
      <c r="C10" s="72">
        <v>2603.1</v>
      </c>
      <c r="D10" s="70">
        <v>0</v>
      </c>
      <c r="E10" s="72">
        <f t="shared" si="1"/>
        <v>2603.1</v>
      </c>
      <c r="F10" s="72">
        <f t="shared" si="2"/>
        <v>208.24799999999999</v>
      </c>
      <c r="G10" s="311"/>
      <c r="H10" s="74">
        <f t="shared" si="4"/>
        <v>44506</v>
      </c>
      <c r="I10" s="244">
        <v>0</v>
      </c>
      <c r="J10" s="391">
        <f t="shared" si="3"/>
        <v>0</v>
      </c>
      <c r="K10" s="72">
        <f t="shared" si="0"/>
        <v>0</v>
      </c>
      <c r="L10" s="71" t="s">
        <v>158</v>
      </c>
      <c r="M10" s="71" t="s">
        <v>152</v>
      </c>
    </row>
    <row r="11" spans="1:14" ht="16.5" customHeight="1" x14ac:dyDescent="0.25">
      <c r="A11" s="176">
        <v>0.65</v>
      </c>
      <c r="B11" s="73" t="s">
        <v>8</v>
      </c>
      <c r="C11" s="72">
        <v>4025.55</v>
      </c>
      <c r="D11" s="70">
        <v>0</v>
      </c>
      <c r="E11" s="72">
        <f t="shared" si="1"/>
        <v>4025.55</v>
      </c>
      <c r="F11" s="72">
        <f t="shared" si="2"/>
        <v>322.04400000000004</v>
      </c>
      <c r="G11" s="311"/>
      <c r="H11" s="74">
        <f t="shared" si="4"/>
        <v>44506</v>
      </c>
      <c r="I11" s="244">
        <v>0</v>
      </c>
      <c r="J11" s="391">
        <f t="shared" si="3"/>
        <v>0</v>
      </c>
      <c r="K11" s="72">
        <f t="shared" si="0"/>
        <v>0</v>
      </c>
      <c r="L11" s="71" t="s">
        <v>150</v>
      </c>
      <c r="M11" s="71" t="s">
        <v>154</v>
      </c>
    </row>
    <row r="12" spans="1:14" ht="16.5" customHeight="1" x14ac:dyDescent="0.25">
      <c r="A12" s="176">
        <v>0.65</v>
      </c>
      <c r="B12" s="73" t="s">
        <v>9</v>
      </c>
      <c r="C12" s="72">
        <v>4182.93</v>
      </c>
      <c r="D12" s="70">
        <v>0</v>
      </c>
      <c r="E12" s="72">
        <f t="shared" si="1"/>
        <v>4182.93</v>
      </c>
      <c r="F12" s="72">
        <f t="shared" si="2"/>
        <v>334.63440000000003</v>
      </c>
      <c r="G12" s="311"/>
      <c r="H12" s="74">
        <f t="shared" si="4"/>
        <v>44506</v>
      </c>
      <c r="I12" s="244">
        <v>0</v>
      </c>
      <c r="J12" s="391">
        <f t="shared" si="3"/>
        <v>0</v>
      </c>
      <c r="K12" s="72">
        <f t="shared" si="0"/>
        <v>0</v>
      </c>
      <c r="L12" s="71" t="s">
        <v>150</v>
      </c>
      <c r="M12" s="71" t="s">
        <v>154</v>
      </c>
    </row>
    <row r="13" spans="1:14" ht="16.5" customHeight="1" x14ac:dyDescent="0.25">
      <c r="A13" s="176">
        <v>0.65</v>
      </c>
      <c r="B13" s="73" t="s">
        <v>11</v>
      </c>
      <c r="C13" s="72">
        <v>2600.17</v>
      </c>
      <c r="D13" s="70">
        <v>0</v>
      </c>
      <c r="E13" s="72">
        <f t="shared" si="1"/>
        <v>2600.17</v>
      </c>
      <c r="F13" s="72">
        <f t="shared" si="2"/>
        <v>208.0136</v>
      </c>
      <c r="G13" s="76"/>
      <c r="H13" s="74">
        <f t="shared" si="4"/>
        <v>44506</v>
      </c>
      <c r="I13" s="244">
        <v>0</v>
      </c>
      <c r="J13" s="391">
        <f t="shared" si="3"/>
        <v>0</v>
      </c>
      <c r="K13" s="72">
        <f t="shared" si="0"/>
        <v>0</v>
      </c>
      <c r="L13" s="71" t="s">
        <v>150</v>
      </c>
      <c r="M13" s="71" t="s">
        <v>154</v>
      </c>
    </row>
    <row r="14" spans="1:14" ht="16.5" customHeight="1" x14ac:dyDescent="0.25">
      <c r="A14" s="176">
        <v>0.65</v>
      </c>
      <c r="B14" s="73" t="s">
        <v>12</v>
      </c>
      <c r="C14" s="72">
        <v>1314.96</v>
      </c>
      <c r="D14" s="70">
        <v>0</v>
      </c>
      <c r="E14" s="72">
        <f t="shared" si="1"/>
        <v>1314.96</v>
      </c>
      <c r="F14" s="72">
        <f t="shared" si="2"/>
        <v>105.19680000000001</v>
      </c>
      <c r="G14" s="76"/>
      <c r="H14" s="74">
        <f t="shared" si="4"/>
        <v>44506</v>
      </c>
      <c r="I14" s="244">
        <v>0</v>
      </c>
      <c r="J14" s="391">
        <f t="shared" si="3"/>
        <v>0</v>
      </c>
      <c r="K14" s="72">
        <f t="shared" si="0"/>
        <v>0</v>
      </c>
      <c r="L14" s="71" t="s">
        <v>158</v>
      </c>
      <c r="M14" s="71" t="s">
        <v>152</v>
      </c>
      <c r="N14" s="219" t="s">
        <v>196</v>
      </c>
    </row>
    <row r="15" spans="1:14" ht="16.5" customHeight="1" x14ac:dyDescent="0.25">
      <c r="A15" s="176">
        <v>0.65</v>
      </c>
      <c r="B15" s="73" t="s">
        <v>13</v>
      </c>
      <c r="C15" s="72">
        <v>1769.34</v>
      </c>
      <c r="D15" s="70">
        <v>0</v>
      </c>
      <c r="E15" s="72">
        <f t="shared" si="1"/>
        <v>1769.34</v>
      </c>
      <c r="F15" s="72">
        <f t="shared" si="2"/>
        <v>141.5472</v>
      </c>
      <c r="G15" s="76"/>
      <c r="H15" s="74">
        <f t="shared" si="4"/>
        <v>44506</v>
      </c>
      <c r="I15" s="244">
        <v>0</v>
      </c>
      <c r="J15" s="391">
        <f t="shared" si="3"/>
        <v>0</v>
      </c>
      <c r="K15" s="72">
        <f t="shared" si="0"/>
        <v>0</v>
      </c>
      <c r="L15" s="71" t="s">
        <v>158</v>
      </c>
      <c r="M15" s="71" t="s">
        <v>152</v>
      </c>
      <c r="N15" s="219" t="s">
        <v>196</v>
      </c>
    </row>
    <row r="16" spans="1:14" ht="16.5" customHeight="1" x14ac:dyDescent="0.25">
      <c r="A16" s="176">
        <v>0.65</v>
      </c>
      <c r="B16" s="73" t="s">
        <v>104</v>
      </c>
      <c r="C16" s="72">
        <v>2287.38</v>
      </c>
      <c r="D16" s="70">
        <v>0</v>
      </c>
      <c r="E16" s="72">
        <f t="shared" si="1"/>
        <v>2287.38</v>
      </c>
      <c r="F16" s="72">
        <f t="shared" si="2"/>
        <v>182.99040000000002</v>
      </c>
      <c r="G16" s="76"/>
      <c r="H16" s="74">
        <f t="shared" si="4"/>
        <v>44506</v>
      </c>
      <c r="I16" s="244">
        <v>0</v>
      </c>
      <c r="J16" s="391">
        <f t="shared" si="3"/>
        <v>0</v>
      </c>
      <c r="K16" s="72">
        <f t="shared" si="0"/>
        <v>0</v>
      </c>
      <c r="L16" s="71" t="s">
        <v>150</v>
      </c>
      <c r="M16" s="71" t="s">
        <v>152</v>
      </c>
      <c r="N16" s="219" t="s">
        <v>196</v>
      </c>
    </row>
    <row r="17" spans="1:14" ht="16.5" customHeight="1" x14ac:dyDescent="0.25">
      <c r="A17" s="190"/>
      <c r="B17" s="312" t="s">
        <v>156</v>
      </c>
      <c r="C17" s="312">
        <f>SUM(C5:C16)</f>
        <v>38436.459999999992</v>
      </c>
      <c r="D17" s="181">
        <f>SUM(D5:D16)</f>
        <v>0</v>
      </c>
      <c r="E17" s="317">
        <f>SUM(E5:E16)</f>
        <v>38436.459999999992</v>
      </c>
      <c r="F17" s="181">
        <f>SUM(F5:F16)</f>
        <v>3074.9168</v>
      </c>
      <c r="G17" s="181"/>
      <c r="H17" s="251"/>
      <c r="I17" s="181"/>
      <c r="J17" s="392"/>
      <c r="K17" s="317">
        <f>SUM(K5:K16)</f>
        <v>0</v>
      </c>
      <c r="L17" s="71" t="s">
        <v>158</v>
      </c>
      <c r="M17" s="71" t="s">
        <v>151</v>
      </c>
    </row>
    <row r="18" spans="1:14" ht="16.5" customHeight="1" x14ac:dyDescent="0.25">
      <c r="A18" s="176">
        <v>0.8</v>
      </c>
      <c r="B18" s="73" t="s">
        <v>19</v>
      </c>
      <c r="C18" s="72">
        <v>2737.19</v>
      </c>
      <c r="D18" s="70">
        <v>0</v>
      </c>
      <c r="E18" s="72">
        <f>C18-D18</f>
        <v>2737.19</v>
      </c>
      <c r="F18" s="72">
        <f>C18*8%</f>
        <v>218.9752</v>
      </c>
      <c r="G18" s="76"/>
      <c r="H18" s="74">
        <f>H16</f>
        <v>44506</v>
      </c>
      <c r="I18" s="232">
        <v>0</v>
      </c>
      <c r="J18" s="391">
        <f>J16</f>
        <v>0</v>
      </c>
      <c r="K18" s="72">
        <f t="shared" ref="K18:K32" si="5">SUM(E18)*J18</f>
        <v>0</v>
      </c>
      <c r="L18" s="71" t="s">
        <v>150</v>
      </c>
      <c r="M18" s="71" t="s">
        <v>152</v>
      </c>
    </row>
    <row r="19" spans="1:14" ht="16.5" customHeight="1" x14ac:dyDescent="0.25">
      <c r="A19" s="176">
        <v>0.8</v>
      </c>
      <c r="B19" s="73" t="s">
        <v>20</v>
      </c>
      <c r="C19" s="72">
        <v>2916.78</v>
      </c>
      <c r="D19" s="70">
        <v>0</v>
      </c>
      <c r="E19" s="72">
        <f t="shared" ref="E19:E32" si="6">C19-D19</f>
        <v>2916.78</v>
      </c>
      <c r="F19" s="72">
        <f t="shared" ref="F19:F32" si="7">C19*8%</f>
        <v>233.34240000000003</v>
      </c>
      <c r="G19" s="76"/>
      <c r="H19" s="74">
        <f t="shared" si="4"/>
        <v>44506</v>
      </c>
      <c r="I19" s="232">
        <v>0</v>
      </c>
      <c r="J19" s="391">
        <f t="shared" si="3"/>
        <v>0</v>
      </c>
      <c r="K19" s="72">
        <f t="shared" si="5"/>
        <v>0</v>
      </c>
      <c r="L19" s="71" t="s">
        <v>158</v>
      </c>
      <c r="M19" s="71" t="s">
        <v>151</v>
      </c>
    </row>
    <row r="20" spans="1:14" ht="16.5" customHeight="1" x14ac:dyDescent="0.25">
      <c r="A20" s="176">
        <v>0.8</v>
      </c>
      <c r="B20" s="73" t="s">
        <v>21</v>
      </c>
      <c r="C20" s="72">
        <v>570.54999999999995</v>
      </c>
      <c r="D20" s="70">
        <v>0</v>
      </c>
      <c r="E20" s="72">
        <f t="shared" si="6"/>
        <v>570.54999999999995</v>
      </c>
      <c r="F20" s="72">
        <f t="shared" si="7"/>
        <v>45.643999999999998</v>
      </c>
      <c r="G20" s="76"/>
      <c r="H20" s="74">
        <f t="shared" si="4"/>
        <v>44506</v>
      </c>
      <c r="I20" s="232">
        <v>0</v>
      </c>
      <c r="J20" s="391">
        <f t="shared" si="3"/>
        <v>0</v>
      </c>
      <c r="K20" s="72">
        <f t="shared" si="5"/>
        <v>0</v>
      </c>
      <c r="L20" s="71" t="s">
        <v>150</v>
      </c>
      <c r="M20" s="71" t="s">
        <v>154</v>
      </c>
    </row>
    <row r="21" spans="1:14" ht="16.5" customHeight="1" x14ac:dyDescent="0.25">
      <c r="A21" s="176">
        <v>0.8</v>
      </c>
      <c r="B21" s="73" t="s">
        <v>22</v>
      </c>
      <c r="C21" s="72">
        <v>3724.99</v>
      </c>
      <c r="D21" s="70">
        <v>0</v>
      </c>
      <c r="E21" s="72">
        <f t="shared" si="6"/>
        <v>3724.99</v>
      </c>
      <c r="F21" s="72">
        <f t="shared" si="7"/>
        <v>297.99919999999997</v>
      </c>
      <c r="G21" s="76"/>
      <c r="H21" s="74">
        <f t="shared" si="4"/>
        <v>44506</v>
      </c>
      <c r="I21" s="232">
        <v>0</v>
      </c>
      <c r="J21" s="391">
        <f t="shared" si="3"/>
        <v>0</v>
      </c>
      <c r="K21" s="72">
        <f t="shared" si="5"/>
        <v>0</v>
      </c>
      <c r="L21" s="71" t="s">
        <v>158</v>
      </c>
      <c r="M21" s="71" t="s">
        <v>159</v>
      </c>
      <c r="N21" s="165"/>
    </row>
    <row r="22" spans="1:14" ht="16.5" customHeight="1" x14ac:dyDescent="0.25">
      <c r="A22" s="176">
        <v>0.8</v>
      </c>
      <c r="B22" s="73" t="s">
        <v>23</v>
      </c>
      <c r="C22" s="72">
        <v>4518.25</v>
      </c>
      <c r="D22" s="70">
        <v>0</v>
      </c>
      <c r="E22" s="72">
        <f t="shared" si="6"/>
        <v>4518.25</v>
      </c>
      <c r="F22" s="72">
        <f t="shared" si="7"/>
        <v>361.46</v>
      </c>
      <c r="G22" s="76"/>
      <c r="H22" s="74">
        <f t="shared" si="4"/>
        <v>44506</v>
      </c>
      <c r="I22" s="232">
        <v>0</v>
      </c>
      <c r="J22" s="391">
        <f t="shared" si="3"/>
        <v>0</v>
      </c>
      <c r="K22" s="72">
        <f t="shared" si="5"/>
        <v>0</v>
      </c>
      <c r="L22" s="71" t="s">
        <v>158</v>
      </c>
      <c r="M22" s="71" t="s">
        <v>152</v>
      </c>
    </row>
    <row r="23" spans="1:14" ht="16.5" customHeight="1" x14ac:dyDescent="0.25">
      <c r="A23" s="176">
        <v>0.8</v>
      </c>
      <c r="B23" s="73" t="s">
        <v>24</v>
      </c>
      <c r="C23" s="72">
        <v>823.03</v>
      </c>
      <c r="D23" s="70">
        <v>0</v>
      </c>
      <c r="E23" s="72">
        <f t="shared" si="6"/>
        <v>823.03</v>
      </c>
      <c r="F23" s="72">
        <f t="shared" si="7"/>
        <v>65.842399999999998</v>
      </c>
      <c r="G23" s="76"/>
      <c r="H23" s="74">
        <f t="shared" si="4"/>
        <v>44506</v>
      </c>
      <c r="I23" s="232">
        <v>0</v>
      </c>
      <c r="J23" s="391">
        <f t="shared" si="3"/>
        <v>0</v>
      </c>
      <c r="K23" s="72">
        <f t="shared" si="5"/>
        <v>0</v>
      </c>
      <c r="L23" s="71" t="s">
        <v>158</v>
      </c>
      <c r="M23" s="71" t="s">
        <v>152</v>
      </c>
    </row>
    <row r="24" spans="1:14" ht="16.5" customHeight="1" x14ac:dyDescent="0.25">
      <c r="A24" s="176">
        <v>0.8</v>
      </c>
      <c r="B24" s="73" t="s">
        <v>25</v>
      </c>
      <c r="C24" s="72">
        <v>8000.21</v>
      </c>
      <c r="D24" s="70">
        <v>0</v>
      </c>
      <c r="E24" s="72">
        <f t="shared" si="6"/>
        <v>8000.21</v>
      </c>
      <c r="F24" s="72">
        <f t="shared" si="7"/>
        <v>640.01679999999999</v>
      </c>
      <c r="G24" s="76"/>
      <c r="H24" s="74">
        <f t="shared" si="4"/>
        <v>44506</v>
      </c>
      <c r="I24" s="232">
        <v>0</v>
      </c>
      <c r="J24" s="391">
        <f t="shared" si="3"/>
        <v>0</v>
      </c>
      <c r="K24" s="72">
        <f t="shared" si="5"/>
        <v>0</v>
      </c>
      <c r="L24" s="71" t="s">
        <v>150</v>
      </c>
      <c r="M24" s="71" t="s">
        <v>154</v>
      </c>
    </row>
    <row r="25" spans="1:14" ht="16.5" customHeight="1" x14ac:dyDescent="0.25">
      <c r="A25" s="176">
        <v>0.8</v>
      </c>
      <c r="B25" s="73" t="s">
        <v>60</v>
      </c>
      <c r="C25" s="72">
        <v>284.58999999999997</v>
      </c>
      <c r="D25" s="70">
        <v>0</v>
      </c>
      <c r="E25" s="72">
        <f t="shared" si="6"/>
        <v>284.58999999999997</v>
      </c>
      <c r="F25" s="72">
        <f t="shared" si="7"/>
        <v>22.767199999999999</v>
      </c>
      <c r="G25" s="76"/>
      <c r="H25" s="74">
        <f t="shared" si="4"/>
        <v>44506</v>
      </c>
      <c r="I25" s="232">
        <v>0</v>
      </c>
      <c r="J25" s="391">
        <f t="shared" si="3"/>
        <v>0</v>
      </c>
      <c r="K25" s="72">
        <f t="shared" si="5"/>
        <v>0</v>
      </c>
      <c r="L25" s="71" t="s">
        <v>150</v>
      </c>
      <c r="M25" s="71" t="s">
        <v>152</v>
      </c>
      <c r="N25" s="219"/>
    </row>
    <row r="26" spans="1:14" ht="16.5" customHeight="1" x14ac:dyDescent="0.25">
      <c r="A26" s="176">
        <v>0.8</v>
      </c>
      <c r="B26" s="73" t="s">
        <v>26</v>
      </c>
      <c r="C26" s="72">
        <v>6296.45</v>
      </c>
      <c r="D26" s="70">
        <v>0</v>
      </c>
      <c r="E26" s="72">
        <f t="shared" si="6"/>
        <v>6296.45</v>
      </c>
      <c r="F26" s="72">
        <f t="shared" si="7"/>
        <v>503.71600000000001</v>
      </c>
      <c r="G26" s="76"/>
      <c r="H26" s="74">
        <f t="shared" si="4"/>
        <v>44506</v>
      </c>
      <c r="I26" s="232">
        <v>0</v>
      </c>
      <c r="J26" s="391">
        <f t="shared" si="3"/>
        <v>0</v>
      </c>
      <c r="K26" s="72">
        <f t="shared" si="5"/>
        <v>0</v>
      </c>
      <c r="L26" s="71" t="s">
        <v>158</v>
      </c>
      <c r="M26" s="71" t="s">
        <v>151</v>
      </c>
    </row>
    <row r="27" spans="1:14" ht="16.5" customHeight="1" x14ac:dyDescent="0.25">
      <c r="A27" s="176">
        <v>0.8</v>
      </c>
      <c r="B27" s="73" t="s">
        <v>27</v>
      </c>
      <c r="C27" s="72">
        <v>3354.14</v>
      </c>
      <c r="D27" s="70">
        <v>0</v>
      </c>
      <c r="E27" s="72">
        <f t="shared" si="6"/>
        <v>3354.14</v>
      </c>
      <c r="F27" s="72">
        <f t="shared" si="7"/>
        <v>268.33119999999997</v>
      </c>
      <c r="G27" s="76"/>
      <c r="H27" s="74">
        <f t="shared" si="4"/>
        <v>44506</v>
      </c>
      <c r="I27" s="232">
        <v>0</v>
      </c>
      <c r="J27" s="391">
        <f t="shared" si="3"/>
        <v>0</v>
      </c>
      <c r="K27" s="72">
        <f t="shared" si="5"/>
        <v>0</v>
      </c>
      <c r="L27" s="71" t="s">
        <v>150</v>
      </c>
      <c r="M27" s="71" t="s">
        <v>154</v>
      </c>
    </row>
    <row r="28" spans="1:14" ht="16.5" customHeight="1" x14ac:dyDescent="0.25">
      <c r="A28" s="176">
        <v>0.8</v>
      </c>
      <c r="B28" s="73" t="s">
        <v>28</v>
      </c>
      <c r="C28" s="72">
        <v>667.21</v>
      </c>
      <c r="D28" s="70">
        <v>0</v>
      </c>
      <c r="E28" s="72">
        <f t="shared" si="6"/>
        <v>667.21</v>
      </c>
      <c r="F28" s="72">
        <f t="shared" si="7"/>
        <v>53.376800000000003</v>
      </c>
      <c r="G28" s="76"/>
      <c r="H28" s="74">
        <f t="shared" si="4"/>
        <v>44506</v>
      </c>
      <c r="I28" s="232">
        <v>0</v>
      </c>
      <c r="J28" s="391">
        <f t="shared" si="3"/>
        <v>0</v>
      </c>
      <c r="K28" s="72">
        <f t="shared" si="5"/>
        <v>0</v>
      </c>
      <c r="L28" s="71" t="s">
        <v>150</v>
      </c>
      <c r="M28" s="71" t="s">
        <v>154</v>
      </c>
    </row>
    <row r="29" spans="1:14" ht="16.5" customHeight="1" x14ac:dyDescent="0.25">
      <c r="A29" s="176">
        <v>0.8</v>
      </c>
      <c r="B29" s="73" t="s">
        <v>29</v>
      </c>
      <c r="C29" s="72">
        <v>2389.0500000000002</v>
      </c>
      <c r="D29" s="70">
        <v>0</v>
      </c>
      <c r="E29" s="72">
        <f t="shared" si="6"/>
        <v>2389.0500000000002</v>
      </c>
      <c r="F29" s="72">
        <f t="shared" si="7"/>
        <v>191.12400000000002</v>
      </c>
      <c r="G29" s="76"/>
      <c r="H29" s="74">
        <f t="shared" si="4"/>
        <v>44506</v>
      </c>
      <c r="I29" s="232">
        <v>0</v>
      </c>
      <c r="J29" s="391">
        <f t="shared" si="3"/>
        <v>0</v>
      </c>
      <c r="K29" s="72">
        <f t="shared" si="5"/>
        <v>0</v>
      </c>
      <c r="L29" s="71" t="s">
        <v>150</v>
      </c>
      <c r="M29" s="71" t="s">
        <v>154</v>
      </c>
    </row>
    <row r="30" spans="1:14" ht="16.5" customHeight="1" x14ac:dyDescent="0.25">
      <c r="A30" s="176">
        <v>0.8</v>
      </c>
      <c r="B30" s="73" t="s">
        <v>30</v>
      </c>
      <c r="C30" s="72">
        <v>4188.24</v>
      </c>
      <c r="D30" s="70">
        <v>0</v>
      </c>
      <c r="E30" s="72">
        <f t="shared" si="6"/>
        <v>4188.24</v>
      </c>
      <c r="F30" s="72">
        <f t="shared" si="7"/>
        <v>335.05919999999998</v>
      </c>
      <c r="G30" s="76"/>
      <c r="H30" s="74">
        <f t="shared" si="4"/>
        <v>44506</v>
      </c>
      <c r="I30" s="232">
        <v>0</v>
      </c>
      <c r="J30" s="391">
        <f t="shared" si="3"/>
        <v>0</v>
      </c>
      <c r="K30" s="72">
        <f t="shared" si="5"/>
        <v>0</v>
      </c>
      <c r="L30" s="71" t="s">
        <v>158</v>
      </c>
      <c r="M30" s="71" t="s">
        <v>151</v>
      </c>
      <c r="N30" s="219" t="s">
        <v>196</v>
      </c>
    </row>
    <row r="31" spans="1:14" ht="16.5" customHeight="1" x14ac:dyDescent="0.25">
      <c r="A31" s="176">
        <v>0.8</v>
      </c>
      <c r="B31" s="73" t="s">
        <v>31</v>
      </c>
      <c r="C31" s="72">
        <v>3585.17</v>
      </c>
      <c r="D31" s="70">
        <v>0</v>
      </c>
      <c r="E31" s="72">
        <f t="shared" si="6"/>
        <v>3585.17</v>
      </c>
      <c r="F31" s="72">
        <f t="shared" si="7"/>
        <v>286.81360000000001</v>
      </c>
      <c r="G31" s="76"/>
      <c r="H31" s="74">
        <f t="shared" si="4"/>
        <v>44506</v>
      </c>
      <c r="I31" s="232">
        <v>0</v>
      </c>
      <c r="J31" s="391">
        <f t="shared" si="3"/>
        <v>0</v>
      </c>
      <c r="K31" s="72">
        <f t="shared" si="5"/>
        <v>0</v>
      </c>
      <c r="L31" s="71" t="s">
        <v>158</v>
      </c>
      <c r="M31" s="71" t="s">
        <v>151</v>
      </c>
      <c r="N31" s="219" t="s">
        <v>196</v>
      </c>
    </row>
    <row r="32" spans="1:14" ht="16.5" customHeight="1" x14ac:dyDescent="0.25">
      <c r="A32" s="176">
        <v>0.8</v>
      </c>
      <c r="B32" s="73" t="s">
        <v>32</v>
      </c>
      <c r="C32" s="72">
        <v>1866.28</v>
      </c>
      <c r="D32" s="70">
        <v>0</v>
      </c>
      <c r="E32" s="72">
        <f t="shared" si="6"/>
        <v>1866.28</v>
      </c>
      <c r="F32" s="72">
        <f t="shared" si="7"/>
        <v>149.30240000000001</v>
      </c>
      <c r="G32" s="76"/>
      <c r="H32" s="74">
        <f t="shared" si="4"/>
        <v>44506</v>
      </c>
      <c r="I32" s="232">
        <v>0</v>
      </c>
      <c r="J32" s="391">
        <f t="shared" si="3"/>
        <v>0</v>
      </c>
      <c r="K32" s="72">
        <f t="shared" si="5"/>
        <v>0</v>
      </c>
      <c r="L32" s="71" t="s">
        <v>150</v>
      </c>
      <c r="M32" s="71" t="s">
        <v>154</v>
      </c>
    </row>
    <row r="33" spans="1:13" ht="16.5" customHeight="1" x14ac:dyDescent="0.25">
      <c r="A33" s="190"/>
      <c r="B33" s="314" t="s">
        <v>160</v>
      </c>
      <c r="C33" s="314">
        <f>SUM(C18:C32)</f>
        <v>45922.13</v>
      </c>
      <c r="D33" s="314">
        <f>SUM(D18:D32)</f>
        <v>0</v>
      </c>
      <c r="E33" s="327">
        <f>SUM(E18:E32)</f>
        <v>45922.13</v>
      </c>
      <c r="F33" s="314">
        <f>SUM(F18:F32)</f>
        <v>3673.7704000000008</v>
      </c>
      <c r="G33" s="315"/>
      <c r="H33" s="323"/>
      <c r="I33" s="315"/>
      <c r="J33" s="392"/>
      <c r="K33" s="317">
        <f>SUM(K18:K32)</f>
        <v>0</v>
      </c>
      <c r="L33" s="71" t="s">
        <v>150</v>
      </c>
      <c r="M33" s="71" t="s">
        <v>152</v>
      </c>
    </row>
    <row r="34" spans="1:13" ht="16.5" customHeight="1" x14ac:dyDescent="0.25">
      <c r="A34" s="313"/>
      <c r="B34" s="73" t="s">
        <v>33</v>
      </c>
      <c r="C34" s="72">
        <v>2338.86</v>
      </c>
      <c r="D34" s="70">
        <v>0</v>
      </c>
      <c r="E34" s="72">
        <f>C34-D34</f>
        <v>2338.86</v>
      </c>
      <c r="F34" s="70">
        <f>C34*8%</f>
        <v>187.1088</v>
      </c>
      <c r="G34" s="311"/>
      <c r="H34" s="74">
        <f>H32</f>
        <v>44506</v>
      </c>
      <c r="I34" s="324">
        <v>0</v>
      </c>
      <c r="J34" s="391">
        <f>J32</f>
        <v>0</v>
      </c>
      <c r="K34" s="72">
        <f t="shared" ref="K34:K64" si="8">SUM(E34)*J34</f>
        <v>0</v>
      </c>
      <c r="L34" s="71"/>
      <c r="M34" s="71"/>
    </row>
    <row r="35" spans="1:13" ht="16.5" customHeight="1" x14ac:dyDescent="0.25">
      <c r="A35" s="313"/>
      <c r="B35" s="73" t="s">
        <v>34</v>
      </c>
      <c r="C35" s="72">
        <v>1286.76</v>
      </c>
      <c r="D35" s="70">
        <v>0</v>
      </c>
      <c r="E35" s="72">
        <f t="shared" ref="E35:E96" si="9">C35-D35</f>
        <v>1286.76</v>
      </c>
      <c r="F35" s="70">
        <f t="shared" ref="F35:F96" si="10">C35*8%</f>
        <v>102.9408</v>
      </c>
      <c r="G35" s="311"/>
      <c r="H35" s="74">
        <f>H34</f>
        <v>44506</v>
      </c>
      <c r="I35" s="324">
        <v>0</v>
      </c>
      <c r="J35" s="391">
        <f t="shared" si="3"/>
        <v>0</v>
      </c>
      <c r="K35" s="72">
        <f t="shared" si="8"/>
        <v>0</v>
      </c>
      <c r="L35" s="71"/>
      <c r="M35" s="71"/>
    </row>
    <row r="36" spans="1:13" ht="16.5" customHeight="1" x14ac:dyDescent="0.25">
      <c r="A36" s="313"/>
      <c r="B36" s="73" t="s">
        <v>16</v>
      </c>
      <c r="C36" s="72">
        <v>2.78</v>
      </c>
      <c r="D36" s="70">
        <v>0</v>
      </c>
      <c r="E36" s="72">
        <f t="shared" si="9"/>
        <v>2.78</v>
      </c>
      <c r="F36" s="70">
        <f t="shared" si="10"/>
        <v>0.22239999999999999</v>
      </c>
      <c r="G36" s="311"/>
      <c r="H36" s="74">
        <f t="shared" ref="H36:H95" si="11">H34</f>
        <v>44506</v>
      </c>
      <c r="I36" s="324">
        <v>0</v>
      </c>
      <c r="J36" s="391">
        <f t="shared" si="3"/>
        <v>0</v>
      </c>
      <c r="K36" s="72">
        <f t="shared" si="8"/>
        <v>0</v>
      </c>
      <c r="L36" s="71"/>
      <c r="M36" s="71"/>
    </row>
    <row r="37" spans="1:13" ht="16.5" customHeight="1" x14ac:dyDescent="0.25">
      <c r="A37" s="313"/>
      <c r="B37" s="73" t="s">
        <v>35</v>
      </c>
      <c r="C37" s="72">
        <v>102.54</v>
      </c>
      <c r="D37" s="70">
        <v>0</v>
      </c>
      <c r="E37" s="72">
        <f t="shared" si="9"/>
        <v>102.54</v>
      </c>
      <c r="F37" s="70">
        <f t="shared" si="10"/>
        <v>8.2032000000000007</v>
      </c>
      <c r="G37" s="311"/>
      <c r="H37" s="74">
        <f t="shared" si="11"/>
        <v>44506</v>
      </c>
      <c r="I37" s="324">
        <v>0</v>
      </c>
      <c r="J37" s="391">
        <f t="shared" si="3"/>
        <v>0</v>
      </c>
      <c r="K37" s="72">
        <f t="shared" si="8"/>
        <v>0</v>
      </c>
      <c r="L37" s="71"/>
      <c r="M37" s="71"/>
    </row>
    <row r="38" spans="1:13" ht="16.5" customHeight="1" x14ac:dyDescent="0.25">
      <c r="A38" s="313"/>
      <c r="B38" s="73" t="s">
        <v>219</v>
      </c>
      <c r="C38" s="72">
        <v>822.11</v>
      </c>
      <c r="D38" s="70">
        <v>822.11</v>
      </c>
      <c r="E38" s="72">
        <f t="shared" si="9"/>
        <v>0</v>
      </c>
      <c r="F38" s="70">
        <f t="shared" si="10"/>
        <v>65.768799999999999</v>
      </c>
      <c r="G38" s="311">
        <v>44509</v>
      </c>
      <c r="H38" s="74">
        <f t="shared" si="11"/>
        <v>44506</v>
      </c>
      <c r="I38" s="324">
        <f t="shared" ref="I38:I89" si="12">G38-H38</f>
        <v>3</v>
      </c>
      <c r="J38" s="391">
        <f t="shared" si="3"/>
        <v>0</v>
      </c>
      <c r="K38" s="72">
        <f t="shared" si="8"/>
        <v>0</v>
      </c>
      <c r="L38" s="71"/>
      <c r="M38" s="71"/>
    </row>
    <row r="39" spans="1:13" ht="16.5" customHeight="1" x14ac:dyDescent="0.25">
      <c r="A39" s="313"/>
      <c r="B39" s="73" t="s">
        <v>37</v>
      </c>
      <c r="C39" s="72">
        <v>1700.68</v>
      </c>
      <c r="D39" s="70">
        <v>0</v>
      </c>
      <c r="E39" s="72">
        <f t="shared" si="9"/>
        <v>1700.68</v>
      </c>
      <c r="F39" s="70">
        <f t="shared" si="10"/>
        <v>136.05440000000002</v>
      </c>
      <c r="G39" s="311"/>
      <c r="H39" s="74">
        <f t="shared" si="11"/>
        <v>44506</v>
      </c>
      <c r="I39" s="324">
        <v>0</v>
      </c>
      <c r="J39" s="391">
        <f t="shared" si="3"/>
        <v>0</v>
      </c>
      <c r="K39" s="72">
        <f t="shared" si="8"/>
        <v>0</v>
      </c>
      <c r="L39" s="71"/>
      <c r="M39" s="71"/>
    </row>
    <row r="40" spans="1:13" ht="16.5" customHeight="1" x14ac:dyDescent="0.25">
      <c r="A40" s="313"/>
      <c r="B40" s="73" t="s">
        <v>105</v>
      </c>
      <c r="C40" s="72">
        <v>238.63</v>
      </c>
      <c r="D40" s="70">
        <v>238.63</v>
      </c>
      <c r="E40" s="72">
        <f t="shared" si="9"/>
        <v>0</v>
      </c>
      <c r="F40" s="70">
        <f t="shared" si="10"/>
        <v>19.090399999999999</v>
      </c>
      <c r="G40" s="311">
        <v>44509</v>
      </c>
      <c r="H40" s="74">
        <f t="shared" si="11"/>
        <v>44506</v>
      </c>
      <c r="I40" s="324">
        <f t="shared" si="12"/>
        <v>3</v>
      </c>
      <c r="J40" s="391">
        <f t="shared" si="3"/>
        <v>0</v>
      </c>
      <c r="K40" s="72">
        <f t="shared" si="8"/>
        <v>0</v>
      </c>
      <c r="L40" s="71"/>
      <c r="M40" s="71"/>
    </row>
    <row r="41" spans="1:13" ht="16.5" customHeight="1" x14ac:dyDescent="0.25">
      <c r="A41" s="313"/>
      <c r="B41" s="73" t="s">
        <v>38</v>
      </c>
      <c r="C41" s="72">
        <v>3604.2</v>
      </c>
      <c r="D41" s="70">
        <v>0</v>
      </c>
      <c r="E41" s="72">
        <f t="shared" si="9"/>
        <v>3604.2</v>
      </c>
      <c r="F41" s="70">
        <f t="shared" si="10"/>
        <v>288.33600000000001</v>
      </c>
      <c r="G41" s="311"/>
      <c r="H41" s="74">
        <f t="shared" si="11"/>
        <v>44506</v>
      </c>
      <c r="I41" s="324">
        <v>0</v>
      </c>
      <c r="J41" s="391">
        <f t="shared" si="3"/>
        <v>0</v>
      </c>
      <c r="K41" s="72">
        <f t="shared" si="8"/>
        <v>0</v>
      </c>
      <c r="L41" s="71"/>
      <c r="M41" s="71"/>
    </row>
    <row r="42" spans="1:13" ht="16.5" customHeight="1" x14ac:dyDescent="0.25">
      <c r="A42" s="313"/>
      <c r="B42" s="73" t="s">
        <v>39</v>
      </c>
      <c r="C42" s="72">
        <v>10.75</v>
      </c>
      <c r="D42" s="70">
        <v>0</v>
      </c>
      <c r="E42" s="72">
        <f t="shared" si="9"/>
        <v>10.75</v>
      </c>
      <c r="F42" s="70">
        <f t="shared" si="10"/>
        <v>0.86</v>
      </c>
      <c r="G42" s="311"/>
      <c r="H42" s="74">
        <f t="shared" si="11"/>
        <v>44506</v>
      </c>
      <c r="I42" s="324">
        <v>0</v>
      </c>
      <c r="J42" s="391">
        <f t="shared" si="3"/>
        <v>0</v>
      </c>
      <c r="K42" s="72">
        <f t="shared" si="8"/>
        <v>0</v>
      </c>
      <c r="L42" s="71"/>
      <c r="M42" s="71"/>
    </row>
    <row r="43" spans="1:13" ht="16.5" customHeight="1" x14ac:dyDescent="0.25">
      <c r="A43" s="313"/>
      <c r="B43" s="73" t="s">
        <v>40</v>
      </c>
      <c r="C43" s="72">
        <v>17.32</v>
      </c>
      <c r="D43" s="70">
        <v>0</v>
      </c>
      <c r="E43" s="72">
        <f t="shared" si="9"/>
        <v>17.32</v>
      </c>
      <c r="F43" s="70">
        <f t="shared" si="10"/>
        <v>1.3855999999999999</v>
      </c>
      <c r="G43" s="311"/>
      <c r="H43" s="74">
        <f t="shared" si="11"/>
        <v>44506</v>
      </c>
      <c r="I43" s="324">
        <v>0</v>
      </c>
      <c r="J43" s="391">
        <f t="shared" si="3"/>
        <v>0</v>
      </c>
      <c r="K43" s="72">
        <f t="shared" si="8"/>
        <v>0</v>
      </c>
      <c r="L43" s="71"/>
      <c r="M43" s="71"/>
    </row>
    <row r="44" spans="1:13" ht="16.5" customHeight="1" x14ac:dyDescent="0.25">
      <c r="A44" s="313"/>
      <c r="B44" s="73" t="s">
        <v>41</v>
      </c>
      <c r="C44" s="72">
        <v>6.78</v>
      </c>
      <c r="D44" s="70">
        <v>0</v>
      </c>
      <c r="E44" s="72">
        <f t="shared" si="9"/>
        <v>6.78</v>
      </c>
      <c r="F44" s="70">
        <f t="shared" si="10"/>
        <v>0.54239999999999999</v>
      </c>
      <c r="G44" s="311"/>
      <c r="H44" s="74">
        <f t="shared" si="11"/>
        <v>44506</v>
      </c>
      <c r="I44" s="324">
        <v>0</v>
      </c>
      <c r="J44" s="391">
        <f t="shared" si="3"/>
        <v>0</v>
      </c>
      <c r="K44" s="72">
        <f t="shared" si="8"/>
        <v>0</v>
      </c>
      <c r="L44" s="71"/>
      <c r="M44" s="71"/>
    </row>
    <row r="45" spans="1:13" ht="16.5" customHeight="1" x14ac:dyDescent="0.25">
      <c r="A45" s="313"/>
      <c r="B45" s="73" t="s">
        <v>42</v>
      </c>
      <c r="C45" s="72">
        <v>1700.62</v>
      </c>
      <c r="D45" s="70">
        <v>0</v>
      </c>
      <c r="E45" s="72">
        <f t="shared" si="9"/>
        <v>1700.62</v>
      </c>
      <c r="F45" s="70">
        <f t="shared" si="10"/>
        <v>136.0496</v>
      </c>
      <c r="G45" s="311"/>
      <c r="H45" s="74">
        <f t="shared" si="11"/>
        <v>44506</v>
      </c>
      <c r="I45" s="324">
        <v>0</v>
      </c>
      <c r="J45" s="391">
        <f t="shared" si="3"/>
        <v>0</v>
      </c>
      <c r="K45" s="72">
        <f t="shared" si="8"/>
        <v>0</v>
      </c>
      <c r="L45" s="71"/>
      <c r="M45" s="71"/>
    </row>
    <row r="46" spans="1:13" ht="16.5" customHeight="1" x14ac:dyDescent="0.25">
      <c r="A46" s="313"/>
      <c r="B46" s="73" t="s">
        <v>43</v>
      </c>
      <c r="C46" s="72">
        <v>51.27</v>
      </c>
      <c r="D46" s="70">
        <v>51.27</v>
      </c>
      <c r="E46" s="72">
        <f t="shared" si="9"/>
        <v>0</v>
      </c>
      <c r="F46" s="70">
        <f t="shared" si="10"/>
        <v>4.1016000000000004</v>
      </c>
      <c r="G46" s="311">
        <v>44505</v>
      </c>
      <c r="H46" s="74">
        <f t="shared" si="11"/>
        <v>44506</v>
      </c>
      <c r="I46" s="324">
        <v>0</v>
      </c>
      <c r="J46" s="391">
        <f t="shared" si="3"/>
        <v>0</v>
      </c>
      <c r="K46" s="72">
        <f t="shared" si="8"/>
        <v>0</v>
      </c>
      <c r="L46" s="71"/>
      <c r="M46" s="71"/>
    </row>
    <row r="47" spans="1:13" ht="16.5" customHeight="1" x14ac:dyDescent="0.25">
      <c r="A47" s="313"/>
      <c r="B47" s="73" t="s">
        <v>44</v>
      </c>
      <c r="C47" s="72">
        <v>263.98</v>
      </c>
      <c r="D47" s="70">
        <v>0</v>
      </c>
      <c r="E47" s="72">
        <f t="shared" si="9"/>
        <v>263.98</v>
      </c>
      <c r="F47" s="70">
        <f t="shared" si="10"/>
        <v>21.118400000000001</v>
      </c>
      <c r="G47" s="311"/>
      <c r="H47" s="74">
        <f t="shared" si="11"/>
        <v>44506</v>
      </c>
      <c r="I47" s="324">
        <v>0</v>
      </c>
      <c r="J47" s="391">
        <f t="shared" si="3"/>
        <v>0</v>
      </c>
      <c r="K47" s="72">
        <f t="shared" si="8"/>
        <v>0</v>
      </c>
      <c r="L47" s="71"/>
      <c r="M47" s="71"/>
    </row>
    <row r="48" spans="1:13" ht="16.5" customHeight="1" x14ac:dyDescent="0.25">
      <c r="A48" s="313"/>
      <c r="B48" s="73" t="s">
        <v>46</v>
      </c>
      <c r="C48" s="72">
        <v>10.75</v>
      </c>
      <c r="D48" s="70">
        <v>0</v>
      </c>
      <c r="E48" s="72">
        <f t="shared" si="9"/>
        <v>10.75</v>
      </c>
      <c r="F48" s="70">
        <f t="shared" si="10"/>
        <v>0.86</v>
      </c>
      <c r="G48" s="311"/>
      <c r="H48" s="74">
        <f>H47</f>
        <v>44506</v>
      </c>
      <c r="I48" s="324">
        <v>0</v>
      </c>
      <c r="J48" s="391">
        <f>J47</f>
        <v>0</v>
      </c>
      <c r="K48" s="72">
        <f t="shared" si="8"/>
        <v>0</v>
      </c>
      <c r="L48" s="71"/>
      <c r="M48" s="71"/>
    </row>
    <row r="49" spans="1:13" ht="16.5" customHeight="1" x14ac:dyDescent="0.25">
      <c r="A49" s="313"/>
      <c r="B49" s="73" t="s">
        <v>47</v>
      </c>
      <c r="C49" s="72">
        <v>204.14</v>
      </c>
      <c r="D49" s="70">
        <v>0</v>
      </c>
      <c r="E49" s="72">
        <f t="shared" si="9"/>
        <v>204.14</v>
      </c>
      <c r="F49" s="70">
        <f t="shared" si="10"/>
        <v>16.331199999999999</v>
      </c>
      <c r="G49" s="311"/>
      <c r="H49" s="74" t="e">
        <f>#REF!</f>
        <v>#REF!</v>
      </c>
      <c r="I49" s="324">
        <v>0</v>
      </c>
      <c r="J49" s="391">
        <f t="shared" si="3"/>
        <v>0</v>
      </c>
      <c r="K49" s="72">
        <f t="shared" si="8"/>
        <v>0</v>
      </c>
      <c r="L49" s="71"/>
      <c r="M49" s="71"/>
    </row>
    <row r="50" spans="1:13" ht="16.5" customHeight="1" x14ac:dyDescent="0.25">
      <c r="A50" s="313"/>
      <c r="B50" s="73" t="s">
        <v>49</v>
      </c>
      <c r="C50" s="72">
        <v>941.19</v>
      </c>
      <c r="D50" s="70">
        <v>941.19</v>
      </c>
      <c r="E50" s="72">
        <f t="shared" si="9"/>
        <v>0</v>
      </c>
      <c r="F50" s="70">
        <f t="shared" si="10"/>
        <v>75.295200000000008</v>
      </c>
      <c r="G50" s="311">
        <v>44509</v>
      </c>
      <c r="H50" s="74">
        <f t="shared" si="11"/>
        <v>44506</v>
      </c>
      <c r="I50" s="324">
        <f t="shared" si="12"/>
        <v>3</v>
      </c>
      <c r="J50" s="391">
        <f t="shared" si="3"/>
        <v>0</v>
      </c>
      <c r="K50" s="72">
        <f t="shared" si="8"/>
        <v>0</v>
      </c>
      <c r="L50" s="71"/>
      <c r="M50" s="71"/>
    </row>
    <row r="51" spans="1:13" ht="16.5" customHeight="1" x14ac:dyDescent="0.25">
      <c r="A51" s="313"/>
      <c r="B51" s="73" t="s">
        <v>50</v>
      </c>
      <c r="C51" s="72">
        <v>1198.57</v>
      </c>
      <c r="D51" s="70">
        <v>1198.57</v>
      </c>
      <c r="E51" s="72">
        <f t="shared" si="9"/>
        <v>0</v>
      </c>
      <c r="F51" s="70">
        <f t="shared" si="10"/>
        <v>95.885599999999997</v>
      </c>
      <c r="G51" s="311">
        <v>44519</v>
      </c>
      <c r="H51" s="74" t="e">
        <f t="shared" si="11"/>
        <v>#REF!</v>
      </c>
      <c r="I51" s="324" t="e">
        <f t="shared" si="12"/>
        <v>#REF!</v>
      </c>
      <c r="J51" s="391">
        <f t="shared" si="3"/>
        <v>0</v>
      </c>
      <c r="K51" s="72">
        <f t="shared" si="8"/>
        <v>0</v>
      </c>
      <c r="L51" s="71"/>
      <c r="M51" s="71"/>
    </row>
    <row r="52" spans="1:13" ht="16.5" customHeight="1" x14ac:dyDescent="0.25">
      <c r="A52" s="313"/>
      <c r="B52" s="73" t="s">
        <v>51</v>
      </c>
      <c r="C52" s="72">
        <v>189.92</v>
      </c>
      <c r="D52" s="70">
        <v>0</v>
      </c>
      <c r="E52" s="72">
        <f t="shared" si="9"/>
        <v>189.92</v>
      </c>
      <c r="F52" s="70">
        <f t="shared" si="10"/>
        <v>15.1936</v>
      </c>
      <c r="G52" s="311"/>
      <c r="H52" s="74">
        <f t="shared" si="11"/>
        <v>44506</v>
      </c>
      <c r="I52" s="324">
        <v>0</v>
      </c>
      <c r="J52" s="391">
        <f t="shared" si="3"/>
        <v>0</v>
      </c>
      <c r="K52" s="72">
        <f t="shared" si="8"/>
        <v>0</v>
      </c>
      <c r="L52" s="71"/>
      <c r="M52" s="71"/>
    </row>
    <row r="53" spans="1:13" ht="16.5" customHeight="1" x14ac:dyDescent="0.25">
      <c r="A53" s="313"/>
      <c r="B53" s="73" t="s">
        <v>52</v>
      </c>
      <c r="C53" s="72">
        <v>58.61</v>
      </c>
      <c r="D53" s="70">
        <v>0</v>
      </c>
      <c r="E53" s="72">
        <f t="shared" si="9"/>
        <v>58.61</v>
      </c>
      <c r="F53" s="70">
        <f t="shared" si="10"/>
        <v>4.6887999999999996</v>
      </c>
      <c r="G53" s="311"/>
      <c r="H53" s="74" t="e">
        <f t="shared" si="11"/>
        <v>#REF!</v>
      </c>
      <c r="I53" s="324">
        <v>0</v>
      </c>
      <c r="J53" s="391">
        <f t="shared" si="3"/>
        <v>0</v>
      </c>
      <c r="K53" s="72">
        <f t="shared" si="8"/>
        <v>0</v>
      </c>
      <c r="L53" s="71"/>
      <c r="M53" s="71"/>
    </row>
    <row r="54" spans="1:13" ht="16.5" customHeight="1" x14ac:dyDescent="0.25">
      <c r="A54" s="313"/>
      <c r="B54" s="73" t="s">
        <v>53</v>
      </c>
      <c r="C54" s="72">
        <v>2408.75</v>
      </c>
      <c r="D54" s="70">
        <v>0</v>
      </c>
      <c r="E54" s="72">
        <f t="shared" si="9"/>
        <v>2408.75</v>
      </c>
      <c r="F54" s="70">
        <f t="shared" si="10"/>
        <v>192.70000000000002</v>
      </c>
      <c r="G54" s="311"/>
      <c r="H54" s="74">
        <f t="shared" si="11"/>
        <v>44506</v>
      </c>
      <c r="I54" s="324">
        <v>0</v>
      </c>
      <c r="J54" s="391">
        <f t="shared" si="3"/>
        <v>0</v>
      </c>
      <c r="K54" s="72">
        <f t="shared" si="8"/>
        <v>0</v>
      </c>
      <c r="L54" s="71"/>
      <c r="M54" s="71"/>
    </row>
    <row r="55" spans="1:13" ht="16.5" customHeight="1" x14ac:dyDescent="0.25">
      <c r="A55" s="313"/>
      <c r="B55" s="73" t="s">
        <v>54</v>
      </c>
      <c r="C55" s="72">
        <v>15.46</v>
      </c>
      <c r="D55" s="70">
        <v>0</v>
      </c>
      <c r="E55" s="72">
        <f t="shared" si="9"/>
        <v>15.46</v>
      </c>
      <c r="F55" s="70">
        <f t="shared" si="10"/>
        <v>1.2368000000000001</v>
      </c>
      <c r="G55" s="311"/>
      <c r="H55" s="74" t="e">
        <f t="shared" si="11"/>
        <v>#REF!</v>
      </c>
      <c r="I55" s="324">
        <v>0</v>
      </c>
      <c r="J55" s="391">
        <f t="shared" si="3"/>
        <v>0</v>
      </c>
      <c r="K55" s="72">
        <f t="shared" si="8"/>
        <v>0</v>
      </c>
      <c r="L55" s="71"/>
      <c r="M55" s="71"/>
    </row>
    <row r="56" spans="1:13" ht="16.5" customHeight="1" x14ac:dyDescent="0.25">
      <c r="A56" s="313"/>
      <c r="B56" s="73" t="s">
        <v>55</v>
      </c>
      <c r="C56" s="72">
        <v>7.69</v>
      </c>
      <c r="D56" s="70">
        <v>0</v>
      </c>
      <c r="E56" s="72">
        <f t="shared" si="9"/>
        <v>7.69</v>
      </c>
      <c r="F56" s="70">
        <f t="shared" si="10"/>
        <v>0.61520000000000008</v>
      </c>
      <c r="G56" s="311"/>
      <c r="H56" s="74">
        <f t="shared" si="11"/>
        <v>44506</v>
      </c>
      <c r="I56" s="324">
        <v>0</v>
      </c>
      <c r="J56" s="391">
        <f t="shared" si="3"/>
        <v>0</v>
      </c>
      <c r="K56" s="72">
        <f t="shared" si="8"/>
        <v>0</v>
      </c>
      <c r="L56" s="71"/>
      <c r="M56" s="71"/>
    </row>
    <row r="57" spans="1:13" ht="16.5" customHeight="1" x14ac:dyDescent="0.25">
      <c r="A57" s="313"/>
      <c r="B57" s="73" t="s">
        <v>56</v>
      </c>
      <c r="C57" s="72">
        <v>128.62</v>
      </c>
      <c r="D57" s="70">
        <v>0</v>
      </c>
      <c r="E57" s="72">
        <f t="shared" si="9"/>
        <v>128.62</v>
      </c>
      <c r="F57" s="70">
        <f t="shared" si="10"/>
        <v>10.2896</v>
      </c>
      <c r="G57" s="311"/>
      <c r="H57" s="74" t="e">
        <f t="shared" si="11"/>
        <v>#REF!</v>
      </c>
      <c r="I57" s="324">
        <v>0</v>
      </c>
      <c r="J57" s="391">
        <f t="shared" si="3"/>
        <v>0</v>
      </c>
      <c r="K57" s="72">
        <f t="shared" si="8"/>
        <v>0</v>
      </c>
      <c r="L57" s="71"/>
      <c r="M57" s="71"/>
    </row>
    <row r="58" spans="1:13" ht="16.5" customHeight="1" x14ac:dyDescent="0.25">
      <c r="A58" s="313"/>
      <c r="B58" s="73" t="s">
        <v>57</v>
      </c>
      <c r="C58" s="72">
        <v>7.36</v>
      </c>
      <c r="D58" s="70">
        <v>0</v>
      </c>
      <c r="E58" s="72">
        <f t="shared" si="9"/>
        <v>7.36</v>
      </c>
      <c r="F58" s="70">
        <f t="shared" si="10"/>
        <v>0.58879999999999999</v>
      </c>
      <c r="G58" s="311"/>
      <c r="H58" s="74">
        <f t="shared" si="11"/>
        <v>44506</v>
      </c>
      <c r="I58" s="324">
        <v>0</v>
      </c>
      <c r="J58" s="391">
        <f t="shared" si="3"/>
        <v>0</v>
      </c>
      <c r="K58" s="72">
        <f t="shared" si="8"/>
        <v>0</v>
      </c>
      <c r="L58" s="71"/>
      <c r="M58" s="71"/>
    </row>
    <row r="59" spans="1:13" ht="16.5" customHeight="1" x14ac:dyDescent="0.25">
      <c r="A59" s="313"/>
      <c r="B59" s="73" t="s">
        <v>220</v>
      </c>
      <c r="C59" s="72">
        <v>1154.01</v>
      </c>
      <c r="D59" s="70">
        <v>1154.01</v>
      </c>
      <c r="E59" s="72">
        <f t="shared" si="9"/>
        <v>0</v>
      </c>
      <c r="F59" s="70">
        <f t="shared" si="10"/>
        <v>92.320800000000006</v>
      </c>
      <c r="G59" s="311">
        <v>44509</v>
      </c>
      <c r="H59" s="74" t="e">
        <f t="shared" si="11"/>
        <v>#REF!</v>
      </c>
      <c r="I59" s="324" t="e">
        <f>G59-H59</f>
        <v>#REF!</v>
      </c>
      <c r="J59" s="391">
        <f t="shared" si="3"/>
        <v>0</v>
      </c>
      <c r="K59" s="72">
        <f t="shared" si="8"/>
        <v>0</v>
      </c>
      <c r="L59" s="71"/>
      <c r="M59" s="71"/>
    </row>
    <row r="60" spans="1:13" ht="16.5" customHeight="1" x14ac:dyDescent="0.25">
      <c r="A60" s="313"/>
      <c r="B60" s="73" t="s">
        <v>122</v>
      </c>
      <c r="C60" s="72">
        <v>86.78</v>
      </c>
      <c r="D60" s="70">
        <v>0</v>
      </c>
      <c r="E60" s="72">
        <f t="shared" si="9"/>
        <v>86.78</v>
      </c>
      <c r="F60" s="70">
        <f t="shared" si="10"/>
        <v>6.9424000000000001</v>
      </c>
      <c r="G60" s="311"/>
      <c r="H60" s="74">
        <f t="shared" si="11"/>
        <v>44506</v>
      </c>
      <c r="I60" s="324">
        <v>0</v>
      </c>
      <c r="J60" s="391">
        <f t="shared" si="3"/>
        <v>0</v>
      </c>
      <c r="K60" s="72">
        <f t="shared" si="8"/>
        <v>0</v>
      </c>
      <c r="L60" s="71"/>
      <c r="M60" s="71"/>
    </row>
    <row r="61" spans="1:13" ht="16.5" customHeight="1" x14ac:dyDescent="0.25">
      <c r="A61" s="313"/>
      <c r="B61" s="73" t="s">
        <v>4</v>
      </c>
      <c r="C61" s="72">
        <v>394.27</v>
      </c>
      <c r="D61" s="70">
        <v>0</v>
      </c>
      <c r="E61" s="72">
        <f t="shared" si="9"/>
        <v>394.27</v>
      </c>
      <c r="F61" s="70">
        <f t="shared" si="10"/>
        <v>31.541599999999999</v>
      </c>
      <c r="G61" s="311"/>
      <c r="H61" s="74" t="e">
        <f t="shared" si="11"/>
        <v>#REF!</v>
      </c>
      <c r="I61" s="324">
        <v>0</v>
      </c>
      <c r="J61" s="391">
        <f t="shared" si="3"/>
        <v>0</v>
      </c>
      <c r="K61" s="72">
        <f t="shared" si="8"/>
        <v>0</v>
      </c>
      <c r="L61" s="71"/>
      <c r="M61" s="71"/>
    </row>
    <row r="62" spans="1:13" ht="16.5" customHeight="1" x14ac:dyDescent="0.25">
      <c r="A62" s="313"/>
      <c r="B62" s="73" t="s">
        <v>221</v>
      </c>
      <c r="C62" s="72">
        <v>567.21</v>
      </c>
      <c r="D62" s="70">
        <v>567.21</v>
      </c>
      <c r="E62" s="72">
        <f t="shared" si="9"/>
        <v>0</v>
      </c>
      <c r="F62" s="70">
        <f t="shared" si="10"/>
        <v>45.376800000000003</v>
      </c>
      <c r="G62" s="311">
        <v>44509</v>
      </c>
      <c r="H62" s="74">
        <f t="shared" si="11"/>
        <v>44506</v>
      </c>
      <c r="I62" s="324">
        <f t="shared" si="12"/>
        <v>3</v>
      </c>
      <c r="J62" s="391">
        <f t="shared" si="3"/>
        <v>0</v>
      </c>
      <c r="K62" s="72">
        <f t="shared" si="8"/>
        <v>0</v>
      </c>
      <c r="L62" s="71"/>
      <c r="M62" s="71"/>
    </row>
    <row r="63" spans="1:13" ht="16.5" customHeight="1" x14ac:dyDescent="0.25">
      <c r="A63" s="313"/>
      <c r="B63" s="73" t="s">
        <v>58</v>
      </c>
      <c r="C63" s="72">
        <v>8.25</v>
      </c>
      <c r="D63" s="70">
        <v>0</v>
      </c>
      <c r="E63" s="72">
        <f t="shared" si="9"/>
        <v>8.25</v>
      </c>
      <c r="F63" s="70">
        <f t="shared" si="10"/>
        <v>0.66</v>
      </c>
      <c r="G63" s="311"/>
      <c r="H63" s="74" t="e">
        <f t="shared" si="11"/>
        <v>#REF!</v>
      </c>
      <c r="I63" s="324">
        <v>0</v>
      </c>
      <c r="J63" s="391">
        <f t="shared" si="3"/>
        <v>0</v>
      </c>
      <c r="K63" s="72">
        <f t="shared" si="8"/>
        <v>0</v>
      </c>
      <c r="L63" s="71"/>
      <c r="M63" s="71"/>
    </row>
    <row r="64" spans="1:13" ht="16.5" customHeight="1" x14ac:dyDescent="0.25">
      <c r="A64" s="313"/>
      <c r="B64" s="73" t="s">
        <v>59</v>
      </c>
      <c r="C64" s="72">
        <v>69.25</v>
      </c>
      <c r="D64" s="70">
        <v>0</v>
      </c>
      <c r="E64" s="72">
        <f t="shared" si="9"/>
        <v>69.25</v>
      </c>
      <c r="F64" s="70">
        <f t="shared" si="10"/>
        <v>5.54</v>
      </c>
      <c r="G64" s="311"/>
      <c r="H64" s="74">
        <f t="shared" si="11"/>
        <v>44506</v>
      </c>
      <c r="I64" s="324">
        <v>0</v>
      </c>
      <c r="J64" s="391">
        <f t="shared" si="3"/>
        <v>0</v>
      </c>
      <c r="K64" s="72">
        <f t="shared" si="8"/>
        <v>0</v>
      </c>
      <c r="L64" s="71"/>
      <c r="M64" s="71"/>
    </row>
    <row r="65" spans="1:13" ht="16.5" customHeight="1" x14ac:dyDescent="0.25">
      <c r="A65" s="313"/>
      <c r="B65" s="73" t="s">
        <v>62</v>
      </c>
      <c r="C65" s="72">
        <v>5.0599999999999996</v>
      </c>
      <c r="D65" s="70">
        <v>0</v>
      </c>
      <c r="E65" s="72">
        <f t="shared" si="9"/>
        <v>5.0599999999999996</v>
      </c>
      <c r="F65" s="70">
        <f t="shared" si="10"/>
        <v>0.40479999999999999</v>
      </c>
      <c r="G65" s="311"/>
      <c r="H65" s="74" t="e">
        <f t="shared" si="11"/>
        <v>#REF!</v>
      </c>
      <c r="I65" s="324">
        <v>0</v>
      </c>
      <c r="J65" s="391">
        <f t="shared" si="3"/>
        <v>0</v>
      </c>
      <c r="K65" s="72">
        <f t="shared" ref="K65:K95" si="13">SUM(E65)*J65</f>
        <v>0</v>
      </c>
      <c r="L65" s="71"/>
      <c r="M65" s="71"/>
    </row>
    <row r="66" spans="1:13" ht="16.5" customHeight="1" x14ac:dyDescent="0.25">
      <c r="A66" s="313"/>
      <c r="B66" s="73" t="s">
        <v>63</v>
      </c>
      <c r="C66" s="72">
        <v>52.11</v>
      </c>
      <c r="D66" s="70">
        <v>0</v>
      </c>
      <c r="E66" s="72">
        <f t="shared" si="9"/>
        <v>52.11</v>
      </c>
      <c r="F66" s="70">
        <f t="shared" si="10"/>
        <v>4.1688000000000001</v>
      </c>
      <c r="G66" s="311"/>
      <c r="H66" s="74">
        <f t="shared" si="11"/>
        <v>44506</v>
      </c>
      <c r="I66" s="324">
        <v>0</v>
      </c>
      <c r="J66" s="391">
        <f t="shared" si="3"/>
        <v>0</v>
      </c>
      <c r="K66" s="72">
        <f t="shared" si="13"/>
        <v>0</v>
      </c>
      <c r="L66" s="71"/>
      <c r="M66" s="71"/>
    </row>
    <row r="67" spans="1:13" ht="16.5" customHeight="1" x14ac:dyDescent="0.25">
      <c r="A67" s="313"/>
      <c r="B67" s="73" t="s">
        <v>64</v>
      </c>
      <c r="C67" s="72">
        <v>19.14</v>
      </c>
      <c r="D67" s="70">
        <v>0</v>
      </c>
      <c r="E67" s="72">
        <f t="shared" si="9"/>
        <v>19.14</v>
      </c>
      <c r="F67" s="70">
        <f t="shared" si="10"/>
        <v>1.5312000000000001</v>
      </c>
      <c r="G67" s="311"/>
      <c r="H67" s="74" t="e">
        <f t="shared" si="11"/>
        <v>#REF!</v>
      </c>
      <c r="I67" s="324">
        <v>0</v>
      </c>
      <c r="J67" s="391">
        <f t="shared" si="3"/>
        <v>0</v>
      </c>
      <c r="K67" s="72">
        <f t="shared" si="13"/>
        <v>0</v>
      </c>
      <c r="L67" s="71"/>
      <c r="M67" s="71"/>
    </row>
    <row r="68" spans="1:13" ht="16.5" customHeight="1" x14ac:dyDescent="0.25">
      <c r="A68" s="313"/>
      <c r="B68" s="73" t="s">
        <v>65</v>
      </c>
      <c r="C68" s="72">
        <v>560.01</v>
      </c>
      <c r="D68" s="70">
        <v>0</v>
      </c>
      <c r="E68" s="72">
        <f t="shared" si="9"/>
        <v>560.01</v>
      </c>
      <c r="F68" s="70">
        <f t="shared" si="10"/>
        <v>44.800800000000002</v>
      </c>
      <c r="G68" s="311"/>
      <c r="H68" s="74">
        <f t="shared" si="11"/>
        <v>44506</v>
      </c>
      <c r="I68" s="324">
        <v>0</v>
      </c>
      <c r="J68" s="391">
        <f t="shared" si="3"/>
        <v>0</v>
      </c>
      <c r="K68" s="72">
        <f t="shared" si="13"/>
        <v>0</v>
      </c>
      <c r="L68" s="71"/>
      <c r="M68" s="71"/>
    </row>
    <row r="69" spans="1:13" ht="16.5" customHeight="1" x14ac:dyDescent="0.25">
      <c r="A69" s="313"/>
      <c r="B69" s="73" t="s">
        <v>66</v>
      </c>
      <c r="C69" s="72">
        <v>1338.54</v>
      </c>
      <c r="D69" s="70">
        <v>0</v>
      </c>
      <c r="E69" s="72">
        <f t="shared" si="9"/>
        <v>1338.54</v>
      </c>
      <c r="F69" s="70">
        <f t="shared" si="10"/>
        <v>107.08320000000001</v>
      </c>
      <c r="G69" s="311"/>
      <c r="H69" s="74" t="e">
        <f t="shared" si="11"/>
        <v>#REF!</v>
      </c>
      <c r="I69" s="324">
        <v>0</v>
      </c>
      <c r="J69" s="391">
        <f t="shared" si="3"/>
        <v>0</v>
      </c>
      <c r="K69" s="72">
        <f t="shared" si="13"/>
        <v>0</v>
      </c>
      <c r="L69" s="71"/>
      <c r="M69" s="71"/>
    </row>
    <row r="70" spans="1:13" ht="16.5" customHeight="1" x14ac:dyDescent="0.25">
      <c r="A70" s="313"/>
      <c r="B70" s="73" t="s">
        <v>67</v>
      </c>
      <c r="C70" s="72">
        <v>82.68</v>
      </c>
      <c r="D70" s="70">
        <v>0</v>
      </c>
      <c r="E70" s="72">
        <f t="shared" si="9"/>
        <v>82.68</v>
      </c>
      <c r="F70" s="70">
        <f t="shared" si="10"/>
        <v>6.6144000000000007</v>
      </c>
      <c r="G70" s="311"/>
      <c r="H70" s="74">
        <f t="shared" si="11"/>
        <v>44506</v>
      </c>
      <c r="I70" s="324">
        <v>0</v>
      </c>
      <c r="J70" s="391">
        <f t="shared" ref="J70:J100" si="14">J69</f>
        <v>0</v>
      </c>
      <c r="K70" s="72">
        <f t="shared" si="13"/>
        <v>0</v>
      </c>
      <c r="L70" s="71"/>
      <c r="M70" s="71"/>
    </row>
    <row r="71" spans="1:13" ht="16.5" customHeight="1" x14ac:dyDescent="0.25">
      <c r="A71" s="313"/>
      <c r="B71" s="73" t="s">
        <v>109</v>
      </c>
      <c r="C71" s="72">
        <v>1533.01</v>
      </c>
      <c r="D71" s="70">
        <v>0</v>
      </c>
      <c r="E71" s="72">
        <f t="shared" si="9"/>
        <v>1533.01</v>
      </c>
      <c r="F71" s="70">
        <f t="shared" si="10"/>
        <v>122.6408</v>
      </c>
      <c r="G71" s="311"/>
      <c r="H71" s="74" t="e">
        <f t="shared" si="11"/>
        <v>#REF!</v>
      </c>
      <c r="I71" s="324">
        <v>0</v>
      </c>
      <c r="J71" s="391">
        <f t="shared" si="14"/>
        <v>0</v>
      </c>
      <c r="K71" s="72">
        <f t="shared" si="13"/>
        <v>0</v>
      </c>
      <c r="L71" s="71"/>
      <c r="M71" s="71"/>
    </row>
    <row r="72" spans="1:13" ht="16.5" customHeight="1" x14ac:dyDescent="0.25">
      <c r="A72" s="313"/>
      <c r="B72" s="73" t="s">
        <v>69</v>
      </c>
      <c r="C72" s="72">
        <v>825.13</v>
      </c>
      <c r="D72" s="70">
        <v>0</v>
      </c>
      <c r="E72" s="72">
        <f t="shared" si="9"/>
        <v>825.13</v>
      </c>
      <c r="F72" s="70">
        <f t="shared" si="10"/>
        <v>66.010400000000004</v>
      </c>
      <c r="G72" s="311"/>
      <c r="H72" s="74">
        <f t="shared" si="11"/>
        <v>44506</v>
      </c>
      <c r="I72" s="324">
        <v>0</v>
      </c>
      <c r="J72" s="391">
        <f t="shared" si="14"/>
        <v>0</v>
      </c>
      <c r="K72" s="72">
        <f t="shared" si="13"/>
        <v>0</v>
      </c>
      <c r="L72" s="71"/>
      <c r="M72" s="71"/>
    </row>
    <row r="73" spans="1:13" ht="16.5" customHeight="1" x14ac:dyDescent="0.25">
      <c r="A73" s="313"/>
      <c r="B73" s="73" t="s">
        <v>72</v>
      </c>
      <c r="C73" s="72">
        <v>59.52</v>
      </c>
      <c r="D73" s="70">
        <v>0</v>
      </c>
      <c r="E73" s="72">
        <f t="shared" si="9"/>
        <v>59.52</v>
      </c>
      <c r="F73" s="70">
        <f t="shared" si="10"/>
        <v>4.7616000000000005</v>
      </c>
      <c r="G73" s="76"/>
      <c r="H73" s="74" t="e">
        <f t="shared" si="11"/>
        <v>#REF!</v>
      </c>
      <c r="I73" s="324">
        <v>0</v>
      </c>
      <c r="J73" s="391">
        <f t="shared" si="14"/>
        <v>0</v>
      </c>
      <c r="K73" s="72">
        <f t="shared" si="13"/>
        <v>0</v>
      </c>
      <c r="L73" s="71"/>
      <c r="M73" s="71"/>
    </row>
    <row r="74" spans="1:13" ht="16.5" customHeight="1" x14ac:dyDescent="0.25">
      <c r="A74" s="313"/>
      <c r="B74" s="73" t="s">
        <v>73</v>
      </c>
      <c r="C74" s="72">
        <v>816.26</v>
      </c>
      <c r="D74" s="70">
        <v>0</v>
      </c>
      <c r="E74" s="72">
        <f t="shared" si="9"/>
        <v>816.26</v>
      </c>
      <c r="F74" s="70">
        <f t="shared" si="10"/>
        <v>65.300799999999995</v>
      </c>
      <c r="G74" s="311"/>
      <c r="H74" s="74">
        <f t="shared" si="11"/>
        <v>44506</v>
      </c>
      <c r="I74" s="324">
        <v>0</v>
      </c>
      <c r="J74" s="391">
        <f t="shared" si="14"/>
        <v>0</v>
      </c>
      <c r="K74" s="72">
        <f t="shared" si="13"/>
        <v>0</v>
      </c>
      <c r="L74" s="71"/>
      <c r="M74" s="71"/>
    </row>
    <row r="75" spans="1:13" ht="16.5" customHeight="1" x14ac:dyDescent="0.25">
      <c r="A75" s="313"/>
      <c r="B75" s="73" t="s">
        <v>74</v>
      </c>
      <c r="C75" s="72">
        <v>3556.52</v>
      </c>
      <c r="D75" s="70">
        <v>0</v>
      </c>
      <c r="E75" s="72">
        <f t="shared" si="9"/>
        <v>3556.52</v>
      </c>
      <c r="F75" s="70">
        <f t="shared" si="10"/>
        <v>284.52159999999998</v>
      </c>
      <c r="G75" s="76"/>
      <c r="H75" s="74" t="e">
        <f t="shared" si="11"/>
        <v>#REF!</v>
      </c>
      <c r="I75" s="324">
        <v>0</v>
      </c>
      <c r="J75" s="391">
        <f t="shared" si="14"/>
        <v>0</v>
      </c>
      <c r="K75" s="72">
        <f t="shared" si="13"/>
        <v>0</v>
      </c>
      <c r="L75" s="71"/>
      <c r="M75" s="71"/>
    </row>
    <row r="76" spans="1:13" ht="16.5" customHeight="1" x14ac:dyDescent="0.25">
      <c r="A76" s="313"/>
      <c r="B76" s="73" t="s">
        <v>10</v>
      </c>
      <c r="C76" s="72">
        <v>118.18</v>
      </c>
      <c r="D76" s="70">
        <v>0</v>
      </c>
      <c r="E76" s="72">
        <f t="shared" si="9"/>
        <v>118.18</v>
      </c>
      <c r="F76" s="70">
        <f t="shared" si="10"/>
        <v>9.4544000000000015</v>
      </c>
      <c r="G76" s="311"/>
      <c r="H76" s="74">
        <f t="shared" si="11"/>
        <v>44506</v>
      </c>
      <c r="I76" s="324">
        <v>0</v>
      </c>
      <c r="J76" s="391">
        <f t="shared" si="14"/>
        <v>0</v>
      </c>
      <c r="K76" s="72">
        <f t="shared" si="13"/>
        <v>0</v>
      </c>
      <c r="L76" s="71"/>
      <c r="M76" s="71"/>
    </row>
    <row r="77" spans="1:13" ht="16.5" customHeight="1" x14ac:dyDescent="0.25">
      <c r="A77" s="313"/>
      <c r="B77" s="73" t="s">
        <v>77</v>
      </c>
      <c r="C77" s="72">
        <v>1940.79</v>
      </c>
      <c r="D77" s="70">
        <v>0</v>
      </c>
      <c r="E77" s="72">
        <f t="shared" si="9"/>
        <v>1940.79</v>
      </c>
      <c r="F77" s="70">
        <f t="shared" si="10"/>
        <v>155.26320000000001</v>
      </c>
      <c r="G77" s="76"/>
      <c r="H77" s="74" t="e">
        <f t="shared" si="11"/>
        <v>#REF!</v>
      </c>
      <c r="I77" s="324">
        <v>0</v>
      </c>
      <c r="J77" s="391">
        <f t="shared" si="14"/>
        <v>0</v>
      </c>
      <c r="K77" s="72">
        <f t="shared" si="13"/>
        <v>0</v>
      </c>
      <c r="L77" s="71"/>
      <c r="M77" s="71"/>
    </row>
    <row r="78" spans="1:13" ht="16.5" customHeight="1" x14ac:dyDescent="0.25">
      <c r="A78" s="313"/>
      <c r="B78" s="73" t="s">
        <v>78</v>
      </c>
      <c r="C78" s="72">
        <v>2290.65</v>
      </c>
      <c r="D78" s="70">
        <v>0</v>
      </c>
      <c r="E78" s="72">
        <f t="shared" si="9"/>
        <v>2290.65</v>
      </c>
      <c r="F78" s="70">
        <f t="shared" si="10"/>
        <v>183.25200000000001</v>
      </c>
      <c r="G78" s="76"/>
      <c r="H78" s="74">
        <f t="shared" si="11"/>
        <v>44506</v>
      </c>
      <c r="I78" s="324">
        <v>0</v>
      </c>
      <c r="J78" s="391">
        <f t="shared" si="14"/>
        <v>0</v>
      </c>
      <c r="K78" s="72">
        <f t="shared" si="13"/>
        <v>0</v>
      </c>
      <c r="L78" s="71"/>
      <c r="M78" s="71"/>
    </row>
    <row r="79" spans="1:13" ht="16.5" customHeight="1" x14ac:dyDescent="0.25">
      <c r="A79" s="313"/>
      <c r="B79" s="73" t="s">
        <v>79</v>
      </c>
      <c r="C79" s="72">
        <v>1620.77</v>
      </c>
      <c r="D79" s="70">
        <v>1620.77</v>
      </c>
      <c r="E79" s="72">
        <f t="shared" si="9"/>
        <v>0</v>
      </c>
      <c r="F79" s="70">
        <f t="shared" si="10"/>
        <v>129.66159999999999</v>
      </c>
      <c r="G79" s="311">
        <v>44510</v>
      </c>
      <c r="H79" s="74" t="e">
        <f t="shared" si="11"/>
        <v>#REF!</v>
      </c>
      <c r="I79" s="324" t="e">
        <f t="shared" si="12"/>
        <v>#REF!</v>
      </c>
      <c r="J79" s="391">
        <f t="shared" si="14"/>
        <v>0</v>
      </c>
      <c r="K79" s="72">
        <f t="shared" si="13"/>
        <v>0</v>
      </c>
      <c r="L79" s="71"/>
      <c r="M79" s="71"/>
    </row>
    <row r="80" spans="1:13" ht="16.5" customHeight="1" x14ac:dyDescent="0.25">
      <c r="A80" s="313"/>
      <c r="B80" s="73" t="s">
        <v>80</v>
      </c>
      <c r="C80" s="72">
        <v>2220.44</v>
      </c>
      <c r="D80" s="70">
        <v>0</v>
      </c>
      <c r="E80" s="72">
        <f t="shared" si="9"/>
        <v>2220.44</v>
      </c>
      <c r="F80" s="70">
        <f t="shared" si="10"/>
        <v>177.6352</v>
      </c>
      <c r="G80" s="76"/>
      <c r="H80" s="74">
        <f t="shared" si="11"/>
        <v>44506</v>
      </c>
      <c r="I80" s="324">
        <v>0</v>
      </c>
      <c r="J80" s="391">
        <f t="shared" si="14"/>
        <v>0</v>
      </c>
      <c r="K80" s="72">
        <f t="shared" si="13"/>
        <v>0</v>
      </c>
      <c r="L80" s="71"/>
      <c r="M80" s="71"/>
    </row>
    <row r="81" spans="1:13" ht="16.5" customHeight="1" x14ac:dyDescent="0.25">
      <c r="A81" s="313"/>
      <c r="B81" s="73" t="s">
        <v>81</v>
      </c>
      <c r="C81" s="72">
        <v>2432.65</v>
      </c>
      <c r="D81" s="70">
        <v>2432.65</v>
      </c>
      <c r="E81" s="72">
        <f t="shared" si="9"/>
        <v>0</v>
      </c>
      <c r="F81" s="70">
        <f t="shared" si="10"/>
        <v>194.61200000000002</v>
      </c>
      <c r="G81" s="76">
        <v>44539</v>
      </c>
      <c r="H81" s="74" t="e">
        <f t="shared" si="11"/>
        <v>#REF!</v>
      </c>
      <c r="I81" s="324" t="e">
        <f t="shared" si="12"/>
        <v>#REF!</v>
      </c>
      <c r="J81" s="391">
        <f t="shared" si="14"/>
        <v>0</v>
      </c>
      <c r="K81" s="72">
        <f t="shared" si="13"/>
        <v>0</v>
      </c>
      <c r="L81" s="71"/>
      <c r="M81" s="71"/>
    </row>
    <row r="82" spans="1:13" ht="16.5" customHeight="1" x14ac:dyDescent="0.25">
      <c r="A82" s="313"/>
      <c r="B82" s="73" t="s">
        <v>82</v>
      </c>
      <c r="C82" s="72">
        <v>1700.68</v>
      </c>
      <c r="D82" s="70">
        <v>0</v>
      </c>
      <c r="E82" s="72">
        <f t="shared" si="9"/>
        <v>1700.68</v>
      </c>
      <c r="F82" s="70">
        <f t="shared" si="10"/>
        <v>136.05440000000002</v>
      </c>
      <c r="G82" s="76"/>
      <c r="H82" s="74">
        <f t="shared" si="11"/>
        <v>44506</v>
      </c>
      <c r="I82" s="324">
        <v>0</v>
      </c>
      <c r="J82" s="391">
        <f t="shared" si="14"/>
        <v>0</v>
      </c>
      <c r="K82" s="72">
        <f t="shared" si="13"/>
        <v>0</v>
      </c>
      <c r="L82" s="71"/>
      <c r="M82" s="71"/>
    </row>
    <row r="83" spans="1:13" ht="16.5" customHeight="1" x14ac:dyDescent="0.25">
      <c r="A83" s="313"/>
      <c r="B83" s="73" t="s">
        <v>112</v>
      </c>
      <c r="C83" s="72">
        <v>10.66</v>
      </c>
      <c r="D83" s="70">
        <v>0</v>
      </c>
      <c r="E83" s="72">
        <v>10.66</v>
      </c>
      <c r="F83" s="70">
        <f t="shared" si="10"/>
        <v>0.8528</v>
      </c>
      <c r="G83" s="311"/>
      <c r="H83" s="74" t="e">
        <f t="shared" si="11"/>
        <v>#REF!</v>
      </c>
      <c r="I83" s="324">
        <v>0</v>
      </c>
      <c r="J83" s="391">
        <f t="shared" si="14"/>
        <v>0</v>
      </c>
      <c r="K83" s="72">
        <f t="shared" si="13"/>
        <v>0</v>
      </c>
      <c r="L83" s="71"/>
      <c r="M83" s="71"/>
    </row>
    <row r="84" spans="1:13" ht="16.5" customHeight="1" x14ac:dyDescent="0.25">
      <c r="A84" s="313"/>
      <c r="B84" s="73" t="s">
        <v>85</v>
      </c>
      <c r="C84" s="72">
        <v>12.31</v>
      </c>
      <c r="D84" s="70">
        <v>0</v>
      </c>
      <c r="E84" s="72">
        <v>12.31</v>
      </c>
      <c r="F84" s="70">
        <f t="shared" si="10"/>
        <v>0.98480000000000001</v>
      </c>
      <c r="G84" s="311"/>
      <c r="H84" s="74">
        <f t="shared" si="11"/>
        <v>44506</v>
      </c>
      <c r="I84" s="324">
        <v>0</v>
      </c>
      <c r="J84" s="391">
        <f t="shared" si="14"/>
        <v>0</v>
      </c>
      <c r="K84" s="72">
        <f t="shared" si="13"/>
        <v>0</v>
      </c>
      <c r="L84" s="71"/>
      <c r="M84" s="71"/>
    </row>
    <row r="85" spans="1:13" ht="16.5" customHeight="1" x14ac:dyDescent="0.25">
      <c r="A85" s="313"/>
      <c r="B85" s="73" t="s">
        <v>87</v>
      </c>
      <c r="C85" s="72">
        <v>2.54</v>
      </c>
      <c r="D85" s="70">
        <v>0</v>
      </c>
      <c r="E85" s="72">
        <f t="shared" si="9"/>
        <v>2.54</v>
      </c>
      <c r="F85" s="70">
        <f t="shared" si="10"/>
        <v>0.20320000000000002</v>
      </c>
      <c r="G85" s="311"/>
      <c r="H85" s="74" t="e">
        <f t="shared" si="11"/>
        <v>#REF!</v>
      </c>
      <c r="I85" s="324">
        <v>0</v>
      </c>
      <c r="J85" s="391">
        <f t="shared" si="14"/>
        <v>0</v>
      </c>
      <c r="K85" s="72">
        <f t="shared" si="13"/>
        <v>0</v>
      </c>
      <c r="L85" s="71"/>
      <c r="M85" s="71"/>
    </row>
    <row r="86" spans="1:13" ht="16.5" customHeight="1" x14ac:dyDescent="0.25">
      <c r="A86" s="313"/>
      <c r="B86" s="73" t="s">
        <v>88</v>
      </c>
      <c r="C86" s="72">
        <v>102.54</v>
      </c>
      <c r="D86" s="70">
        <v>0</v>
      </c>
      <c r="E86" s="72">
        <f t="shared" si="9"/>
        <v>102.54</v>
      </c>
      <c r="F86" s="70">
        <f t="shared" si="10"/>
        <v>8.2032000000000007</v>
      </c>
      <c r="G86" s="311"/>
      <c r="H86" s="74">
        <f t="shared" si="11"/>
        <v>44506</v>
      </c>
      <c r="I86" s="324">
        <v>0</v>
      </c>
      <c r="J86" s="391">
        <f t="shared" si="14"/>
        <v>0</v>
      </c>
      <c r="K86" s="72">
        <f t="shared" si="13"/>
        <v>0</v>
      </c>
      <c r="L86" s="71"/>
      <c r="M86" s="71"/>
    </row>
    <row r="87" spans="1:13" ht="16.5" customHeight="1" x14ac:dyDescent="0.25">
      <c r="A87" s="313"/>
      <c r="B87" s="73" t="s">
        <v>89</v>
      </c>
      <c r="C87" s="72">
        <v>58.13</v>
      </c>
      <c r="D87" s="70">
        <v>0</v>
      </c>
      <c r="E87" s="72">
        <f t="shared" si="9"/>
        <v>58.13</v>
      </c>
      <c r="F87" s="70">
        <f t="shared" si="10"/>
        <v>4.6504000000000003</v>
      </c>
      <c r="G87" s="311"/>
      <c r="H87" s="74" t="e">
        <f t="shared" si="11"/>
        <v>#REF!</v>
      </c>
      <c r="I87" s="324">
        <v>0</v>
      </c>
      <c r="J87" s="391">
        <f t="shared" si="14"/>
        <v>0</v>
      </c>
      <c r="K87" s="72">
        <f t="shared" si="13"/>
        <v>0</v>
      </c>
      <c r="L87" s="71"/>
      <c r="M87" s="71"/>
    </row>
    <row r="88" spans="1:13" ht="16.5" customHeight="1" x14ac:dyDescent="0.25">
      <c r="A88" s="313"/>
      <c r="B88" s="73" t="s">
        <v>113</v>
      </c>
      <c r="C88" s="72">
        <v>385.38</v>
      </c>
      <c r="D88" s="70">
        <v>385.38</v>
      </c>
      <c r="E88" s="72">
        <f t="shared" si="9"/>
        <v>0</v>
      </c>
      <c r="F88" s="70">
        <f t="shared" si="10"/>
        <v>30.830400000000001</v>
      </c>
      <c r="G88" s="311">
        <v>44509</v>
      </c>
      <c r="H88" s="74">
        <f t="shared" si="11"/>
        <v>44506</v>
      </c>
      <c r="I88" s="324">
        <f t="shared" si="12"/>
        <v>3</v>
      </c>
      <c r="J88" s="391">
        <f t="shared" si="14"/>
        <v>0</v>
      </c>
      <c r="K88" s="72">
        <f t="shared" si="13"/>
        <v>0</v>
      </c>
      <c r="L88" s="71"/>
      <c r="M88" s="71"/>
    </row>
    <row r="89" spans="1:13" ht="16.5" customHeight="1" x14ac:dyDescent="0.25">
      <c r="A89" s="313"/>
      <c r="B89" s="73" t="s">
        <v>222</v>
      </c>
      <c r="C89" s="72">
        <v>833.25</v>
      </c>
      <c r="D89" s="70">
        <v>833.25</v>
      </c>
      <c r="E89" s="72">
        <f t="shared" si="9"/>
        <v>0</v>
      </c>
      <c r="F89" s="70">
        <f t="shared" si="10"/>
        <v>66.66</v>
      </c>
      <c r="G89" s="311">
        <v>44509</v>
      </c>
      <c r="H89" s="74" t="e">
        <f t="shared" si="11"/>
        <v>#REF!</v>
      </c>
      <c r="I89" s="324" t="e">
        <f t="shared" si="12"/>
        <v>#REF!</v>
      </c>
      <c r="J89" s="391">
        <f t="shared" si="14"/>
        <v>0</v>
      </c>
      <c r="K89" s="72">
        <f t="shared" si="13"/>
        <v>0</v>
      </c>
      <c r="L89" s="71"/>
      <c r="M89" s="71"/>
    </row>
    <row r="90" spans="1:13" ht="16.5" customHeight="1" x14ac:dyDescent="0.25">
      <c r="A90" s="313"/>
      <c r="B90" s="73" t="s">
        <v>90</v>
      </c>
      <c r="C90" s="72">
        <v>13.19</v>
      </c>
      <c r="D90" s="70">
        <v>0</v>
      </c>
      <c r="E90" s="72">
        <f t="shared" si="9"/>
        <v>13.19</v>
      </c>
      <c r="F90" s="70">
        <f t="shared" si="10"/>
        <v>1.0551999999999999</v>
      </c>
      <c r="G90" s="311"/>
      <c r="H90" s="74">
        <f t="shared" si="11"/>
        <v>44506</v>
      </c>
      <c r="I90" s="324">
        <v>0</v>
      </c>
      <c r="J90" s="391">
        <f t="shared" si="14"/>
        <v>0</v>
      </c>
      <c r="K90" s="72">
        <f t="shared" si="13"/>
        <v>0</v>
      </c>
      <c r="L90" s="71"/>
      <c r="M90" s="71"/>
    </row>
    <row r="91" spans="1:13" ht="16.5" customHeight="1" x14ac:dyDescent="0.25">
      <c r="A91" s="313"/>
      <c r="B91" s="73" t="s">
        <v>93</v>
      </c>
      <c r="C91" s="72">
        <v>51.27</v>
      </c>
      <c r="D91" s="70">
        <v>0</v>
      </c>
      <c r="E91" s="72">
        <f t="shared" si="9"/>
        <v>51.27</v>
      </c>
      <c r="F91" s="70">
        <f t="shared" si="10"/>
        <v>4.1016000000000004</v>
      </c>
      <c r="G91" s="311"/>
      <c r="H91" s="74" t="e">
        <f t="shared" si="11"/>
        <v>#REF!</v>
      </c>
      <c r="I91" s="324">
        <v>0</v>
      </c>
      <c r="J91" s="391">
        <f t="shared" si="14"/>
        <v>0</v>
      </c>
      <c r="K91" s="72">
        <f t="shared" si="13"/>
        <v>0</v>
      </c>
      <c r="L91" s="71"/>
      <c r="M91" s="71"/>
    </row>
    <row r="92" spans="1:13" ht="16.5" customHeight="1" x14ac:dyDescent="0.25">
      <c r="A92" s="313"/>
      <c r="B92" s="73" t="s">
        <v>94</v>
      </c>
      <c r="C92" s="72">
        <v>2031</v>
      </c>
      <c r="D92" s="70">
        <v>0</v>
      </c>
      <c r="E92" s="72">
        <f t="shared" si="9"/>
        <v>2031</v>
      </c>
      <c r="F92" s="70">
        <f t="shared" si="10"/>
        <v>162.47999999999999</v>
      </c>
      <c r="G92" s="76"/>
      <c r="H92" s="74">
        <f t="shared" si="11"/>
        <v>44506</v>
      </c>
      <c r="I92" s="324">
        <v>0</v>
      </c>
      <c r="J92" s="391">
        <f t="shared" si="14"/>
        <v>0</v>
      </c>
      <c r="K92" s="72">
        <f t="shared" si="13"/>
        <v>0</v>
      </c>
      <c r="L92" s="71"/>
      <c r="M92" s="71"/>
    </row>
    <row r="93" spans="1:13" ht="16.5" customHeight="1" x14ac:dyDescent="0.25">
      <c r="A93" s="313"/>
      <c r="B93" s="73" t="s">
        <v>95</v>
      </c>
      <c r="C93" s="72">
        <v>1079.67</v>
      </c>
      <c r="D93" s="70">
        <v>0</v>
      </c>
      <c r="E93" s="72">
        <f t="shared" si="9"/>
        <v>1079.67</v>
      </c>
      <c r="F93" s="70">
        <f t="shared" si="10"/>
        <v>86.37360000000001</v>
      </c>
      <c r="G93" s="76"/>
      <c r="H93" s="74" t="e">
        <f t="shared" si="11"/>
        <v>#REF!</v>
      </c>
      <c r="I93" s="324">
        <v>0</v>
      </c>
      <c r="J93" s="391">
        <f t="shared" si="14"/>
        <v>0</v>
      </c>
      <c r="K93" s="72">
        <f t="shared" si="13"/>
        <v>0</v>
      </c>
      <c r="L93" s="71"/>
      <c r="M93" s="71"/>
    </row>
    <row r="94" spans="1:13" ht="16.5" customHeight="1" x14ac:dyDescent="0.25">
      <c r="A94" s="313"/>
      <c r="B94" s="73" t="s">
        <v>223</v>
      </c>
      <c r="C94" s="72">
        <v>770.84</v>
      </c>
      <c r="D94" s="70">
        <v>0</v>
      </c>
      <c r="E94" s="72">
        <f t="shared" si="9"/>
        <v>770.84</v>
      </c>
      <c r="F94" s="70">
        <f t="shared" si="10"/>
        <v>61.667200000000001</v>
      </c>
      <c r="G94" s="311"/>
      <c r="H94" s="74">
        <f t="shared" si="11"/>
        <v>44506</v>
      </c>
      <c r="I94" s="324">
        <v>0</v>
      </c>
      <c r="J94" s="391">
        <f t="shared" si="14"/>
        <v>0</v>
      </c>
      <c r="K94" s="72">
        <f t="shared" si="13"/>
        <v>0</v>
      </c>
      <c r="L94" s="71"/>
      <c r="M94" s="71"/>
    </row>
    <row r="95" spans="1:13" ht="16.5" customHeight="1" x14ac:dyDescent="0.25">
      <c r="A95" s="313"/>
      <c r="B95" s="73" t="s">
        <v>15</v>
      </c>
      <c r="C95" s="72">
        <v>11.36</v>
      </c>
      <c r="D95" s="70">
        <v>0</v>
      </c>
      <c r="E95" s="72">
        <f t="shared" si="9"/>
        <v>11.36</v>
      </c>
      <c r="F95" s="70">
        <f t="shared" si="10"/>
        <v>0.90879999999999994</v>
      </c>
      <c r="G95" s="311"/>
      <c r="H95" s="74" t="e">
        <f t="shared" si="11"/>
        <v>#REF!</v>
      </c>
      <c r="I95" s="324">
        <v>0</v>
      </c>
      <c r="J95" s="391">
        <f t="shared" si="14"/>
        <v>0</v>
      </c>
      <c r="K95" s="72">
        <f t="shared" si="13"/>
        <v>0</v>
      </c>
      <c r="L95" s="71"/>
      <c r="M95" s="71"/>
    </row>
    <row r="96" spans="1:13" ht="16.5" customHeight="1" x14ac:dyDescent="0.25">
      <c r="A96" s="313"/>
      <c r="B96" s="73" t="s">
        <v>136</v>
      </c>
      <c r="C96" s="72">
        <v>770.84</v>
      </c>
      <c r="D96" s="70">
        <v>770.84</v>
      </c>
      <c r="E96" s="72">
        <f t="shared" si="9"/>
        <v>0</v>
      </c>
      <c r="F96" s="70">
        <f t="shared" si="10"/>
        <v>61.667200000000001</v>
      </c>
      <c r="G96" s="311">
        <v>44512</v>
      </c>
      <c r="H96" s="74" t="e">
        <f>H95</f>
        <v>#REF!</v>
      </c>
      <c r="I96" s="324" t="e">
        <f>G96-H96</f>
        <v>#REF!</v>
      </c>
      <c r="J96" s="391">
        <f>J95</f>
        <v>0</v>
      </c>
      <c r="K96" s="72">
        <f t="shared" ref="K96:K100" si="15">SUM(E96)*J96</f>
        <v>0</v>
      </c>
      <c r="L96" s="71"/>
      <c r="M96" s="71"/>
    </row>
    <row r="97" spans="1:13" ht="16.5" customHeight="1" x14ac:dyDescent="0.25">
      <c r="A97" s="313"/>
      <c r="B97" s="73" t="s">
        <v>98</v>
      </c>
      <c r="C97" s="72">
        <v>2567.87</v>
      </c>
      <c r="D97" s="70">
        <v>2567.87</v>
      </c>
      <c r="E97" s="72">
        <f t="shared" ref="E97:E100" si="16">C97-D97</f>
        <v>0</v>
      </c>
      <c r="F97" s="70">
        <f t="shared" ref="F97:F100" si="17">C97*8%</f>
        <v>205.42959999999999</v>
      </c>
      <c r="G97" s="76">
        <v>44539</v>
      </c>
      <c r="H97" s="74" t="e">
        <f>#REF!</f>
        <v>#REF!</v>
      </c>
      <c r="I97" s="324" t="e">
        <f t="shared" ref="I97" si="18">G97-H97</f>
        <v>#REF!</v>
      </c>
      <c r="J97" s="391">
        <f t="shared" si="14"/>
        <v>0</v>
      </c>
      <c r="K97" s="72">
        <f t="shared" si="15"/>
        <v>0</v>
      </c>
      <c r="L97" s="71"/>
      <c r="M97" s="71"/>
    </row>
    <row r="98" spans="1:13" ht="16.5" customHeight="1" x14ac:dyDescent="0.25">
      <c r="A98" s="313"/>
      <c r="B98" s="73" t="s">
        <v>99</v>
      </c>
      <c r="C98" s="72">
        <v>3052.3</v>
      </c>
      <c r="D98" s="70">
        <v>0</v>
      </c>
      <c r="E98" s="72">
        <f t="shared" si="16"/>
        <v>3052.3</v>
      </c>
      <c r="F98" s="70">
        <f t="shared" si="17"/>
        <v>244.18400000000003</v>
      </c>
      <c r="G98" s="76"/>
      <c r="H98" s="74" t="e">
        <f t="shared" ref="H98:H100" si="19">H96</f>
        <v>#REF!</v>
      </c>
      <c r="I98" s="324">
        <v>0</v>
      </c>
      <c r="J98" s="391">
        <f t="shared" si="14"/>
        <v>0</v>
      </c>
      <c r="K98" s="72">
        <f t="shared" si="15"/>
        <v>0</v>
      </c>
      <c r="L98" s="71"/>
      <c r="M98" s="71"/>
    </row>
    <row r="99" spans="1:13" ht="16.5" customHeight="1" x14ac:dyDescent="0.25">
      <c r="A99" s="313"/>
      <c r="B99" s="73" t="s">
        <v>100</v>
      </c>
      <c r="C99" s="72">
        <v>1603.22</v>
      </c>
      <c r="D99" s="70">
        <v>0</v>
      </c>
      <c r="E99" s="72">
        <f t="shared" si="16"/>
        <v>1603.22</v>
      </c>
      <c r="F99" s="70">
        <f t="shared" si="17"/>
        <v>128.2576</v>
      </c>
      <c r="G99" s="76"/>
      <c r="H99" s="74" t="e">
        <f t="shared" si="19"/>
        <v>#REF!</v>
      </c>
      <c r="I99" s="324">
        <v>0</v>
      </c>
      <c r="J99" s="391">
        <f t="shared" si="14"/>
        <v>0</v>
      </c>
      <c r="K99" s="72">
        <f t="shared" si="15"/>
        <v>0</v>
      </c>
      <c r="L99" s="71"/>
      <c r="M99" s="71"/>
    </row>
    <row r="100" spans="1:13" ht="16.5" customHeight="1" x14ac:dyDescent="0.25">
      <c r="A100" s="313"/>
      <c r="B100" s="73" t="s">
        <v>101</v>
      </c>
      <c r="C100" s="72">
        <v>5.05</v>
      </c>
      <c r="D100" s="70">
        <v>0</v>
      </c>
      <c r="E100" s="72">
        <f t="shared" si="16"/>
        <v>5.05</v>
      </c>
      <c r="F100" s="70">
        <f t="shared" si="17"/>
        <v>0.40399999999999997</v>
      </c>
      <c r="G100" s="311"/>
      <c r="H100" s="74" t="e">
        <f t="shared" si="19"/>
        <v>#REF!</v>
      </c>
      <c r="I100" s="324">
        <v>0</v>
      </c>
      <c r="J100" s="391">
        <f t="shared" si="14"/>
        <v>0</v>
      </c>
      <c r="K100" s="72">
        <f t="shared" si="15"/>
        <v>0</v>
      </c>
      <c r="L100" s="71"/>
      <c r="M100" s="71"/>
    </row>
    <row r="101" spans="1:13" s="65" customFormat="1" ht="17.25" customHeight="1" x14ac:dyDescent="0.25">
      <c r="A101" s="190"/>
      <c r="B101" s="181" t="s">
        <v>162</v>
      </c>
      <c r="C101" s="181">
        <f>SUM(C34:C100)</f>
        <v>54131.67</v>
      </c>
      <c r="D101" s="181">
        <f>SUM(D34:D100)</f>
        <v>13583.75</v>
      </c>
      <c r="E101" s="317">
        <f>SUM(E34:E100)</f>
        <v>40547.920000000013</v>
      </c>
      <c r="F101" s="181">
        <f>SUM(F34:F100)</f>
        <v>4330.5335999999988</v>
      </c>
      <c r="G101" s="182"/>
      <c r="H101" s="182"/>
      <c r="I101" s="182"/>
      <c r="J101" s="181"/>
      <c r="K101" s="181">
        <f>SUM(K34:K100)</f>
        <v>0</v>
      </c>
      <c r="L101" s="186"/>
      <c r="M101" s="186"/>
    </row>
    <row r="102" spans="1:13" ht="15.75" x14ac:dyDescent="0.25">
      <c r="A102" s="186"/>
      <c r="B102" s="187" t="s">
        <v>103</v>
      </c>
      <c r="C102" s="188">
        <f>SUM(C101+C33+C17)</f>
        <v>138490.25999999998</v>
      </c>
      <c r="D102" s="188">
        <f>D101+D33+D17</f>
        <v>13583.75</v>
      </c>
      <c r="E102" s="188">
        <f>E101+E33+E17</f>
        <v>124906.51000000001</v>
      </c>
      <c r="F102" s="188">
        <f>F101+F33+F17</f>
        <v>11079.220799999999</v>
      </c>
      <c r="G102" s="189"/>
      <c r="H102" s="189"/>
      <c r="I102" s="189"/>
      <c r="J102" s="390"/>
      <c r="K102" s="390">
        <f>SUM(K101+K33+K17)</f>
        <v>0</v>
      </c>
    </row>
    <row r="104" spans="1:13" x14ac:dyDescent="0.25">
      <c r="B104" s="166"/>
      <c r="C104" s="220"/>
      <c r="D104" s="166"/>
      <c r="E104" s="166"/>
      <c r="F104" s="166"/>
      <c r="G104" s="67"/>
      <c r="H104" s="67"/>
      <c r="I104" s="67"/>
      <c r="J104" s="67"/>
      <c r="K104" s="67"/>
    </row>
    <row r="105" spans="1:13" x14ac:dyDescent="0.25">
      <c r="B105" s="166"/>
      <c r="C105" s="97"/>
      <c r="D105" s="97"/>
      <c r="E105" s="166"/>
      <c r="F105" s="166"/>
    </row>
    <row r="106" spans="1:13" x14ac:dyDescent="0.25">
      <c r="B106" s="166"/>
      <c r="C106" s="97"/>
      <c r="D106" s="97"/>
      <c r="E106" s="166"/>
      <c r="F106" s="166"/>
    </row>
    <row r="107" spans="1:13" x14ac:dyDescent="0.25">
      <c r="B107" s="166"/>
      <c r="C107" s="97"/>
      <c r="D107" s="97"/>
      <c r="E107" s="166"/>
      <c r="F107" s="166"/>
    </row>
    <row r="108" spans="1:13" x14ac:dyDescent="0.25">
      <c r="C108" s="97"/>
      <c r="D108" s="97"/>
    </row>
    <row r="109" spans="1:13" x14ac:dyDescent="0.25">
      <c r="C109" s="97"/>
      <c r="D109" s="97"/>
    </row>
  </sheetData>
  <autoFilter ref="A4:M100" xr:uid="{00000000-0009-0000-0000-000000000000}"/>
  <pageMargins left="0.51181102362204722" right="0.51181102362204722" top="0.47244094488188981" bottom="0.47244094488188981" header="0.31496062992125984" footer="0.31496062992125984"/>
  <pageSetup paperSize="9" scale="76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1C4DC-373C-48B8-8F45-DF6F8E8E420C}">
  <sheetPr>
    <tabColor rgb="FF00B050"/>
    <pageSetUpPr fitToPage="1"/>
  </sheetPr>
  <dimension ref="A1:O110"/>
  <sheetViews>
    <sheetView showGridLines="0" workbookViewId="0">
      <selection activeCell="J83" sqref="J1:K1048576"/>
    </sheetView>
  </sheetViews>
  <sheetFormatPr defaultRowHeight="15" x14ac:dyDescent="0.25"/>
  <cols>
    <col min="1" max="1" width="9.85546875" style="60" customWidth="1"/>
    <col min="2" max="2" width="43.28515625" style="60" customWidth="1"/>
    <col min="3" max="3" width="14.140625" style="59" customWidth="1"/>
    <col min="4" max="4" width="14.42578125" style="69" customWidth="1"/>
    <col min="5" max="5" width="16.28515625" style="69" customWidth="1"/>
    <col min="6" max="6" width="13.5703125" style="69" customWidth="1"/>
    <col min="7" max="7" width="12.28515625" style="60" hidden="1" customWidth="1"/>
    <col min="8" max="8" width="12.85546875" style="60" hidden="1" customWidth="1"/>
    <col min="9" max="9" width="14.28515625" style="60" hidden="1" customWidth="1"/>
    <col min="10" max="11" width="16.140625" style="60" hidden="1" customWidth="1"/>
    <col min="12" max="12" width="15.85546875" style="60" hidden="1" customWidth="1"/>
    <col min="13" max="13" width="18" style="60" hidden="1" customWidth="1"/>
    <col min="14" max="14" width="18.5703125" style="60" hidden="1" customWidth="1"/>
    <col min="15" max="15" width="17.7109375" style="60" hidden="1" customWidth="1"/>
    <col min="16" max="16" width="5.5703125" style="60" customWidth="1"/>
    <col min="17" max="35" width="9.140625" style="60" customWidth="1"/>
    <col min="36" max="16384" width="9.140625" style="60"/>
  </cols>
  <sheetData>
    <row r="1" spans="1:14" ht="17.25" customHeight="1" x14ac:dyDescent="0.25">
      <c r="A1" s="221"/>
      <c r="B1" s="303" t="s">
        <v>141</v>
      </c>
      <c r="C1" s="304"/>
      <c r="D1" s="222"/>
      <c r="E1" s="83"/>
      <c r="F1" s="83"/>
      <c r="G1" s="223"/>
      <c r="H1" s="223"/>
      <c r="I1" s="223"/>
      <c r="J1" s="223"/>
      <c r="K1" s="223"/>
      <c r="L1" s="223"/>
      <c r="M1" s="84"/>
    </row>
    <row r="2" spans="1:14" ht="15.75" x14ac:dyDescent="0.25">
      <c r="A2" s="59"/>
      <c r="B2" s="305" t="s">
        <v>228</v>
      </c>
      <c r="C2" s="306"/>
      <c r="D2" s="58"/>
      <c r="E2" s="58"/>
      <c r="F2" s="58"/>
      <c r="G2" s="59"/>
      <c r="H2" s="59"/>
      <c r="I2" s="59"/>
      <c r="J2" s="59"/>
      <c r="K2" s="59"/>
      <c r="L2" s="59"/>
      <c r="M2" s="85"/>
    </row>
    <row r="3" spans="1:14" ht="15.75" x14ac:dyDescent="0.25">
      <c r="A3" s="224"/>
      <c r="B3" s="307" t="s">
        <v>229</v>
      </c>
      <c r="C3" s="255"/>
      <c r="D3" s="88"/>
      <c r="E3" s="88"/>
      <c r="F3" s="88"/>
      <c r="G3" s="224"/>
      <c r="H3" s="224"/>
      <c r="I3" s="224"/>
      <c r="J3" s="224"/>
      <c r="K3" s="224"/>
      <c r="L3" s="224"/>
      <c r="M3" s="89"/>
    </row>
    <row r="4" spans="1:14" s="217" customFormat="1" ht="43.5" customHeight="1" x14ac:dyDescent="0.25">
      <c r="A4" s="62" t="s">
        <v>143</v>
      </c>
      <c r="B4" s="63" t="s">
        <v>144</v>
      </c>
      <c r="C4" s="58" t="s">
        <v>140</v>
      </c>
      <c r="D4" s="218" t="s">
        <v>145</v>
      </c>
      <c r="E4" s="58" t="s">
        <v>146</v>
      </c>
      <c r="F4" s="58" t="s">
        <v>212</v>
      </c>
      <c r="G4" s="58" t="s">
        <v>147</v>
      </c>
      <c r="H4" s="310" t="s">
        <v>213</v>
      </c>
      <c r="I4" s="310" t="s">
        <v>214</v>
      </c>
      <c r="J4" s="361" t="s">
        <v>252</v>
      </c>
      <c r="K4" s="361" t="s">
        <v>256</v>
      </c>
      <c r="L4" s="58" t="s">
        <v>148</v>
      </c>
      <c r="M4" s="58" t="s">
        <v>149</v>
      </c>
    </row>
    <row r="5" spans="1:14" ht="16.5" customHeight="1" x14ac:dyDescent="0.25">
      <c r="A5" s="176">
        <v>0.65</v>
      </c>
      <c r="B5" s="73" t="s">
        <v>1</v>
      </c>
      <c r="C5" s="72">
        <v>2488.71</v>
      </c>
      <c r="D5" s="70">
        <v>1617.66</v>
      </c>
      <c r="E5" s="72">
        <f>C5-D5</f>
        <v>871.05</v>
      </c>
      <c r="F5" s="72">
        <f>C5*8%</f>
        <v>199.0968</v>
      </c>
      <c r="G5" s="76">
        <v>44547</v>
      </c>
      <c r="H5" s="76">
        <v>44536</v>
      </c>
      <c r="I5" s="244">
        <f>G5-H5</f>
        <v>11</v>
      </c>
      <c r="J5" s="391">
        <f>'RESUMO DE CÁLCULO'!B46</f>
        <v>0</v>
      </c>
      <c r="K5" s="72">
        <f t="shared" ref="K5:K16" si="0">SUM(E5)*J5</f>
        <v>0</v>
      </c>
      <c r="L5" s="71" t="s">
        <v>150</v>
      </c>
      <c r="M5" s="71" t="s">
        <v>152</v>
      </c>
    </row>
    <row r="6" spans="1:14" ht="16.5" customHeight="1" x14ac:dyDescent="0.25">
      <c r="A6" s="176">
        <v>0.65</v>
      </c>
      <c r="B6" s="73" t="s">
        <v>2</v>
      </c>
      <c r="C6" s="72">
        <v>2101.0100000000002</v>
      </c>
      <c r="D6" s="70">
        <v>1365.66</v>
      </c>
      <c r="E6" s="72">
        <f t="shared" ref="E6:E16" si="1">C6-D6</f>
        <v>735.35000000000014</v>
      </c>
      <c r="F6" s="72">
        <f t="shared" ref="F6:F16" si="2">C6*8%</f>
        <v>168.08080000000001</v>
      </c>
      <c r="G6" s="76">
        <v>44547</v>
      </c>
      <c r="H6" s="74">
        <f>H5</f>
        <v>44536</v>
      </c>
      <c r="I6" s="244">
        <f t="shared" ref="I6:I16" si="3">G6-H6</f>
        <v>11</v>
      </c>
      <c r="J6" s="391">
        <f>J5</f>
        <v>0</v>
      </c>
      <c r="K6" s="72">
        <f t="shared" si="0"/>
        <v>0</v>
      </c>
      <c r="L6" s="71" t="s">
        <v>150</v>
      </c>
      <c r="M6" s="71" t="s">
        <v>154</v>
      </c>
    </row>
    <row r="7" spans="1:14" ht="16.5" customHeight="1" x14ac:dyDescent="0.25">
      <c r="A7" s="176">
        <v>0.65</v>
      </c>
      <c r="B7" s="73" t="s">
        <v>3</v>
      </c>
      <c r="C7" s="72">
        <v>2714.03</v>
      </c>
      <c r="D7" s="70">
        <v>1764.12</v>
      </c>
      <c r="E7" s="72">
        <f t="shared" si="1"/>
        <v>949.91000000000031</v>
      </c>
      <c r="F7" s="72">
        <f t="shared" si="2"/>
        <v>217.12240000000003</v>
      </c>
      <c r="G7" s="76">
        <v>44547</v>
      </c>
      <c r="H7" s="74">
        <f>H6</f>
        <v>44536</v>
      </c>
      <c r="I7" s="244">
        <f t="shared" si="3"/>
        <v>11</v>
      </c>
      <c r="J7" s="391">
        <f>J6</f>
        <v>0</v>
      </c>
      <c r="K7" s="72">
        <f t="shared" si="0"/>
        <v>0</v>
      </c>
      <c r="L7" s="71" t="s">
        <v>150</v>
      </c>
      <c r="M7" s="71" t="s">
        <v>154</v>
      </c>
    </row>
    <row r="8" spans="1:14" ht="16.5" customHeight="1" x14ac:dyDescent="0.25">
      <c r="A8" s="176">
        <v>0.65</v>
      </c>
      <c r="B8" s="73" t="s">
        <v>5</v>
      </c>
      <c r="C8" s="72">
        <v>8680.7000000000007</v>
      </c>
      <c r="D8" s="70">
        <v>5642.46</v>
      </c>
      <c r="E8" s="72">
        <f t="shared" si="1"/>
        <v>3038.2400000000007</v>
      </c>
      <c r="F8" s="72">
        <f t="shared" si="2"/>
        <v>694.45600000000002</v>
      </c>
      <c r="G8" s="76">
        <v>44547</v>
      </c>
      <c r="H8" s="74">
        <f t="shared" ref="H8:H32" si="4">H7</f>
        <v>44536</v>
      </c>
      <c r="I8" s="244">
        <f t="shared" si="3"/>
        <v>11</v>
      </c>
      <c r="J8" s="391">
        <f t="shared" ref="J8:J16" si="5">J7</f>
        <v>0</v>
      </c>
      <c r="K8" s="72">
        <f t="shared" si="0"/>
        <v>0</v>
      </c>
      <c r="L8" s="71" t="s">
        <v>150</v>
      </c>
      <c r="M8" s="71" t="s">
        <v>152</v>
      </c>
    </row>
    <row r="9" spans="1:14" ht="16.5" customHeight="1" x14ac:dyDescent="0.25">
      <c r="A9" s="176">
        <v>0.65</v>
      </c>
      <c r="B9" s="73" t="s">
        <v>6</v>
      </c>
      <c r="C9" s="72">
        <v>3668.58</v>
      </c>
      <c r="D9" s="70">
        <v>2384.58</v>
      </c>
      <c r="E9" s="72">
        <f t="shared" si="1"/>
        <v>1284</v>
      </c>
      <c r="F9" s="72">
        <f t="shared" si="2"/>
        <v>293.4864</v>
      </c>
      <c r="G9" s="76">
        <v>44547</v>
      </c>
      <c r="H9" s="74">
        <f t="shared" si="4"/>
        <v>44536</v>
      </c>
      <c r="I9" s="244">
        <f t="shared" si="3"/>
        <v>11</v>
      </c>
      <c r="J9" s="391">
        <f t="shared" si="5"/>
        <v>0</v>
      </c>
      <c r="K9" s="72">
        <f t="shared" si="0"/>
        <v>0</v>
      </c>
      <c r="L9" s="71" t="s">
        <v>150</v>
      </c>
      <c r="M9" s="71" t="s">
        <v>152</v>
      </c>
    </row>
    <row r="10" spans="1:14" ht="16.5" customHeight="1" x14ac:dyDescent="0.25">
      <c r="A10" s="176">
        <v>0.65</v>
      </c>
      <c r="B10" s="73" t="s">
        <v>7</v>
      </c>
      <c r="C10" s="72">
        <v>2527.27</v>
      </c>
      <c r="D10" s="70">
        <v>1642.73</v>
      </c>
      <c r="E10" s="72">
        <f t="shared" si="1"/>
        <v>884.54</v>
      </c>
      <c r="F10" s="72">
        <f t="shared" si="2"/>
        <v>202.1816</v>
      </c>
      <c r="G10" s="76">
        <v>44547</v>
      </c>
      <c r="H10" s="74">
        <f t="shared" si="4"/>
        <v>44536</v>
      </c>
      <c r="I10" s="244">
        <f t="shared" si="3"/>
        <v>11</v>
      </c>
      <c r="J10" s="391">
        <f t="shared" si="5"/>
        <v>0</v>
      </c>
      <c r="K10" s="72">
        <f t="shared" si="0"/>
        <v>0</v>
      </c>
      <c r="L10" s="71" t="s">
        <v>158</v>
      </c>
      <c r="M10" s="71" t="s">
        <v>152</v>
      </c>
    </row>
    <row r="11" spans="1:14" ht="16.5" customHeight="1" x14ac:dyDescent="0.25">
      <c r="A11" s="176">
        <v>0.65</v>
      </c>
      <c r="B11" s="73" t="s">
        <v>8</v>
      </c>
      <c r="C11" s="72">
        <v>4025.55</v>
      </c>
      <c r="D11" s="70">
        <v>0</v>
      </c>
      <c r="E11" s="72">
        <f t="shared" si="1"/>
        <v>4025.55</v>
      </c>
      <c r="F11" s="72">
        <f t="shared" si="2"/>
        <v>322.04400000000004</v>
      </c>
      <c r="G11" s="311"/>
      <c r="H11" s="74">
        <f t="shared" si="4"/>
        <v>44536</v>
      </c>
      <c r="I11" s="244">
        <v>0</v>
      </c>
      <c r="J11" s="391">
        <f t="shared" si="5"/>
        <v>0</v>
      </c>
      <c r="K11" s="72">
        <f t="shared" si="0"/>
        <v>0</v>
      </c>
      <c r="L11" s="71" t="s">
        <v>150</v>
      </c>
      <c r="M11" s="71" t="s">
        <v>154</v>
      </c>
    </row>
    <row r="12" spans="1:14" ht="16.5" customHeight="1" x14ac:dyDescent="0.25">
      <c r="A12" s="176">
        <v>0.65</v>
      </c>
      <c r="B12" s="73" t="s">
        <v>9</v>
      </c>
      <c r="C12" s="72">
        <v>4182.93</v>
      </c>
      <c r="D12" s="70">
        <v>0</v>
      </c>
      <c r="E12" s="72">
        <f t="shared" si="1"/>
        <v>4182.93</v>
      </c>
      <c r="F12" s="72">
        <f t="shared" si="2"/>
        <v>334.63440000000003</v>
      </c>
      <c r="G12" s="311"/>
      <c r="H12" s="74">
        <f t="shared" si="4"/>
        <v>44536</v>
      </c>
      <c r="I12" s="244">
        <v>0</v>
      </c>
      <c r="J12" s="391">
        <f t="shared" si="5"/>
        <v>0</v>
      </c>
      <c r="K12" s="72">
        <f t="shared" si="0"/>
        <v>0</v>
      </c>
      <c r="L12" s="71" t="s">
        <v>150</v>
      </c>
      <c r="M12" s="71" t="s">
        <v>154</v>
      </c>
    </row>
    <row r="13" spans="1:14" ht="16.5" customHeight="1" x14ac:dyDescent="0.25">
      <c r="A13" s="176">
        <v>0.65</v>
      </c>
      <c r="B13" s="73" t="s">
        <v>11</v>
      </c>
      <c r="C13" s="72">
        <v>2600.17</v>
      </c>
      <c r="D13" s="70">
        <v>0</v>
      </c>
      <c r="E13" s="72">
        <f t="shared" si="1"/>
        <v>2600.17</v>
      </c>
      <c r="F13" s="72">
        <f t="shared" si="2"/>
        <v>208.0136</v>
      </c>
      <c r="G13" s="76"/>
      <c r="H13" s="74">
        <f t="shared" si="4"/>
        <v>44536</v>
      </c>
      <c r="I13" s="244">
        <v>0</v>
      </c>
      <c r="J13" s="391">
        <f t="shared" si="5"/>
        <v>0</v>
      </c>
      <c r="K13" s="72">
        <f t="shared" si="0"/>
        <v>0</v>
      </c>
      <c r="L13" s="71" t="s">
        <v>150</v>
      </c>
      <c r="M13" s="71" t="s">
        <v>154</v>
      </c>
    </row>
    <row r="14" spans="1:14" ht="16.5" customHeight="1" x14ac:dyDescent="0.25">
      <c r="A14" s="176">
        <v>0.65</v>
      </c>
      <c r="B14" s="73" t="s">
        <v>12</v>
      </c>
      <c r="C14" s="72">
        <v>1314.96</v>
      </c>
      <c r="D14" s="70">
        <v>0</v>
      </c>
      <c r="E14" s="72">
        <f t="shared" si="1"/>
        <v>1314.96</v>
      </c>
      <c r="F14" s="72">
        <f t="shared" si="2"/>
        <v>105.19680000000001</v>
      </c>
      <c r="G14" s="76"/>
      <c r="H14" s="74">
        <f t="shared" si="4"/>
        <v>44536</v>
      </c>
      <c r="I14" s="244">
        <v>0</v>
      </c>
      <c r="J14" s="391">
        <f t="shared" si="5"/>
        <v>0</v>
      </c>
      <c r="K14" s="72">
        <f t="shared" si="0"/>
        <v>0</v>
      </c>
      <c r="L14" s="71" t="s">
        <v>158</v>
      </c>
      <c r="M14" s="71" t="s">
        <v>152</v>
      </c>
      <c r="N14" s="219" t="s">
        <v>196</v>
      </c>
    </row>
    <row r="15" spans="1:14" ht="16.5" customHeight="1" x14ac:dyDescent="0.25">
      <c r="A15" s="176">
        <v>0.65</v>
      </c>
      <c r="B15" s="73" t="s">
        <v>13</v>
      </c>
      <c r="C15" s="72">
        <v>1769.34</v>
      </c>
      <c r="D15" s="70">
        <v>1150.07</v>
      </c>
      <c r="E15" s="72">
        <f t="shared" si="1"/>
        <v>619.27</v>
      </c>
      <c r="F15" s="72">
        <f t="shared" si="2"/>
        <v>141.5472</v>
      </c>
      <c r="G15" s="76">
        <v>44547</v>
      </c>
      <c r="H15" s="74">
        <f t="shared" si="4"/>
        <v>44536</v>
      </c>
      <c r="I15" s="244">
        <f t="shared" si="3"/>
        <v>11</v>
      </c>
      <c r="J15" s="391">
        <f t="shared" si="5"/>
        <v>0</v>
      </c>
      <c r="K15" s="72">
        <f t="shared" si="0"/>
        <v>0</v>
      </c>
      <c r="L15" s="71" t="s">
        <v>158</v>
      </c>
      <c r="M15" s="71" t="s">
        <v>152</v>
      </c>
      <c r="N15" s="219" t="s">
        <v>196</v>
      </c>
    </row>
    <row r="16" spans="1:14" ht="16.5" customHeight="1" x14ac:dyDescent="0.25">
      <c r="A16" s="176">
        <v>0.65</v>
      </c>
      <c r="B16" s="73" t="s">
        <v>104</v>
      </c>
      <c r="C16" s="72">
        <v>2287.38</v>
      </c>
      <c r="D16" s="70">
        <v>1486.8</v>
      </c>
      <c r="E16" s="72">
        <f t="shared" si="1"/>
        <v>800.58000000000015</v>
      </c>
      <c r="F16" s="72">
        <f t="shared" si="2"/>
        <v>182.99040000000002</v>
      </c>
      <c r="G16" s="76">
        <v>44547</v>
      </c>
      <c r="H16" s="74">
        <f t="shared" si="4"/>
        <v>44536</v>
      </c>
      <c r="I16" s="244">
        <f t="shared" si="3"/>
        <v>11</v>
      </c>
      <c r="J16" s="391">
        <f t="shared" si="5"/>
        <v>0</v>
      </c>
      <c r="K16" s="72">
        <f t="shared" si="0"/>
        <v>0</v>
      </c>
      <c r="L16" s="71" t="s">
        <v>150</v>
      </c>
      <c r="M16" s="71" t="s">
        <v>152</v>
      </c>
      <c r="N16" s="219" t="s">
        <v>196</v>
      </c>
    </row>
    <row r="17" spans="1:14" ht="16.5" customHeight="1" x14ac:dyDescent="0.25">
      <c r="A17" s="190"/>
      <c r="B17" s="312" t="s">
        <v>156</v>
      </c>
      <c r="C17" s="312">
        <f>SUM(C5:C16)</f>
        <v>38360.62999999999</v>
      </c>
      <c r="D17" s="181">
        <f>SUM(D5:D16)</f>
        <v>17054.080000000002</v>
      </c>
      <c r="E17" s="317">
        <f>SUM(E5:E16)</f>
        <v>21306.550000000003</v>
      </c>
      <c r="F17" s="181">
        <f>SUM(F5:F16)</f>
        <v>3068.8504000000003</v>
      </c>
      <c r="G17" s="181"/>
      <c r="H17" s="251"/>
      <c r="I17" s="181"/>
      <c r="J17" s="181"/>
      <c r="K17" s="181">
        <f>SUM(K5:K16)</f>
        <v>0</v>
      </c>
      <c r="L17" s="71" t="s">
        <v>158</v>
      </c>
      <c r="M17" s="71" t="s">
        <v>151</v>
      </c>
    </row>
    <row r="18" spans="1:14" ht="16.5" customHeight="1" x14ac:dyDescent="0.25">
      <c r="A18" s="176">
        <v>0.8</v>
      </c>
      <c r="B18" s="73" t="s">
        <v>19</v>
      </c>
      <c r="C18" s="72">
        <v>2737.19</v>
      </c>
      <c r="D18" s="70">
        <f t="shared" ref="D18:D32" si="6">ROUND(C18*A18,2)</f>
        <v>2189.75</v>
      </c>
      <c r="E18" s="72">
        <f>C18-D18</f>
        <v>547.44000000000005</v>
      </c>
      <c r="F18" s="72">
        <f>C18*8%</f>
        <v>218.9752</v>
      </c>
      <c r="G18" s="76">
        <v>44547</v>
      </c>
      <c r="H18" s="74">
        <f>H16</f>
        <v>44536</v>
      </c>
      <c r="I18" s="232">
        <f>G18-H18</f>
        <v>11</v>
      </c>
      <c r="J18" s="391">
        <f>J16</f>
        <v>0</v>
      </c>
      <c r="K18" s="72">
        <f t="shared" ref="K18:K32" si="7">SUM(E18)*J18</f>
        <v>0</v>
      </c>
      <c r="L18" s="71" t="s">
        <v>150</v>
      </c>
      <c r="M18" s="71" t="s">
        <v>152</v>
      </c>
    </row>
    <row r="19" spans="1:14" ht="16.5" customHeight="1" x14ac:dyDescent="0.25">
      <c r="A19" s="176">
        <v>0.8</v>
      </c>
      <c r="B19" s="73" t="s">
        <v>20</v>
      </c>
      <c r="C19" s="72">
        <v>2916.78</v>
      </c>
      <c r="D19" s="70">
        <v>0</v>
      </c>
      <c r="E19" s="72">
        <f t="shared" ref="E19:E32" si="8">C19-D19</f>
        <v>2916.78</v>
      </c>
      <c r="F19" s="72">
        <f t="shared" ref="F19:F32" si="9">C19*8%</f>
        <v>233.34240000000003</v>
      </c>
      <c r="G19" s="76"/>
      <c r="H19" s="74">
        <f t="shared" si="4"/>
        <v>44536</v>
      </c>
      <c r="I19" s="232">
        <v>0</v>
      </c>
      <c r="J19" s="391">
        <f>J18</f>
        <v>0</v>
      </c>
      <c r="K19" s="72">
        <f t="shared" si="7"/>
        <v>0</v>
      </c>
      <c r="L19" s="71" t="s">
        <v>158</v>
      </c>
      <c r="M19" s="71" t="s">
        <v>151</v>
      </c>
    </row>
    <row r="20" spans="1:14" ht="16.5" customHeight="1" x14ac:dyDescent="0.25">
      <c r="A20" s="176">
        <v>0.8</v>
      </c>
      <c r="B20" s="73" t="s">
        <v>21</v>
      </c>
      <c r="C20" s="72">
        <v>434.88</v>
      </c>
      <c r="D20" s="70">
        <f t="shared" si="6"/>
        <v>347.9</v>
      </c>
      <c r="E20" s="72">
        <f t="shared" si="8"/>
        <v>86.980000000000018</v>
      </c>
      <c r="F20" s="72">
        <f t="shared" si="9"/>
        <v>34.790399999999998</v>
      </c>
      <c r="G20" s="76">
        <v>44547</v>
      </c>
      <c r="H20" s="74">
        <f t="shared" si="4"/>
        <v>44536</v>
      </c>
      <c r="I20" s="232">
        <f t="shared" ref="I20:I32" si="10">G20-H20</f>
        <v>11</v>
      </c>
      <c r="J20" s="391">
        <f t="shared" ref="J20:J32" si="11">J18</f>
        <v>0</v>
      </c>
      <c r="K20" s="72">
        <f t="shared" si="7"/>
        <v>0</v>
      </c>
      <c r="L20" s="71" t="s">
        <v>150</v>
      </c>
      <c r="M20" s="71" t="s">
        <v>154</v>
      </c>
    </row>
    <row r="21" spans="1:14" ht="16.5" customHeight="1" x14ac:dyDescent="0.25">
      <c r="A21" s="176">
        <v>0.8</v>
      </c>
      <c r="B21" s="73" t="s">
        <v>22</v>
      </c>
      <c r="C21" s="72">
        <v>3724.99</v>
      </c>
      <c r="D21" s="70">
        <f t="shared" si="6"/>
        <v>2979.99</v>
      </c>
      <c r="E21" s="72">
        <f t="shared" si="8"/>
        <v>745</v>
      </c>
      <c r="F21" s="72">
        <f t="shared" si="9"/>
        <v>297.99919999999997</v>
      </c>
      <c r="G21" s="76">
        <v>44547</v>
      </c>
      <c r="H21" s="74">
        <f t="shared" si="4"/>
        <v>44536</v>
      </c>
      <c r="I21" s="232">
        <f t="shared" si="10"/>
        <v>11</v>
      </c>
      <c r="J21" s="391">
        <f t="shared" si="11"/>
        <v>0</v>
      </c>
      <c r="K21" s="72">
        <f t="shared" si="7"/>
        <v>0</v>
      </c>
      <c r="L21" s="71" t="s">
        <v>158</v>
      </c>
      <c r="M21" s="71" t="s">
        <v>159</v>
      </c>
      <c r="N21" s="165"/>
    </row>
    <row r="22" spans="1:14" ht="16.5" customHeight="1" x14ac:dyDescent="0.25">
      <c r="A22" s="176">
        <v>0.8</v>
      </c>
      <c r="B22" s="73" t="s">
        <v>23</v>
      </c>
      <c r="C22" s="72">
        <v>4518.25</v>
      </c>
      <c r="D22" s="70">
        <f t="shared" si="6"/>
        <v>3614.6</v>
      </c>
      <c r="E22" s="72">
        <f t="shared" si="8"/>
        <v>903.65000000000009</v>
      </c>
      <c r="F22" s="72">
        <f t="shared" si="9"/>
        <v>361.46</v>
      </c>
      <c r="G22" s="76">
        <v>44547</v>
      </c>
      <c r="H22" s="74">
        <f t="shared" si="4"/>
        <v>44536</v>
      </c>
      <c r="I22" s="232">
        <f t="shared" si="10"/>
        <v>11</v>
      </c>
      <c r="J22" s="391">
        <f t="shared" si="11"/>
        <v>0</v>
      </c>
      <c r="K22" s="72">
        <f t="shared" si="7"/>
        <v>0</v>
      </c>
      <c r="L22" s="71" t="s">
        <v>158</v>
      </c>
      <c r="M22" s="71" t="s">
        <v>152</v>
      </c>
    </row>
    <row r="23" spans="1:14" ht="16.5" customHeight="1" x14ac:dyDescent="0.25">
      <c r="A23" s="176">
        <v>0.8</v>
      </c>
      <c r="B23" s="73" t="s">
        <v>24</v>
      </c>
      <c r="C23" s="72">
        <v>823.03</v>
      </c>
      <c r="D23" s="70">
        <f t="shared" si="6"/>
        <v>658.42</v>
      </c>
      <c r="E23" s="72">
        <f t="shared" si="8"/>
        <v>164.61</v>
      </c>
      <c r="F23" s="72">
        <f t="shared" si="9"/>
        <v>65.842399999999998</v>
      </c>
      <c r="G23" s="76">
        <v>44547</v>
      </c>
      <c r="H23" s="74">
        <f t="shared" si="4"/>
        <v>44536</v>
      </c>
      <c r="I23" s="232">
        <f t="shared" si="10"/>
        <v>11</v>
      </c>
      <c r="J23" s="391">
        <f t="shared" si="11"/>
        <v>0</v>
      </c>
      <c r="K23" s="72">
        <f t="shared" si="7"/>
        <v>0</v>
      </c>
      <c r="L23" s="71" t="s">
        <v>158</v>
      </c>
      <c r="M23" s="71" t="s">
        <v>152</v>
      </c>
    </row>
    <row r="24" spans="1:14" ht="16.5" customHeight="1" x14ac:dyDescent="0.25">
      <c r="A24" s="176">
        <v>0.8</v>
      </c>
      <c r="B24" s="73" t="s">
        <v>25</v>
      </c>
      <c r="C24" s="72">
        <v>8096.94</v>
      </c>
      <c r="D24" s="70">
        <f t="shared" si="6"/>
        <v>6477.55</v>
      </c>
      <c r="E24" s="72">
        <f t="shared" si="8"/>
        <v>1619.3899999999994</v>
      </c>
      <c r="F24" s="72">
        <f t="shared" si="9"/>
        <v>647.75519999999995</v>
      </c>
      <c r="G24" s="76">
        <v>44547</v>
      </c>
      <c r="H24" s="74">
        <f t="shared" si="4"/>
        <v>44536</v>
      </c>
      <c r="I24" s="232">
        <f t="shared" si="10"/>
        <v>11</v>
      </c>
      <c r="J24" s="391">
        <f t="shared" si="11"/>
        <v>0</v>
      </c>
      <c r="K24" s="72">
        <f t="shared" si="7"/>
        <v>0</v>
      </c>
      <c r="L24" s="71" t="s">
        <v>150</v>
      </c>
      <c r="M24" s="71" t="s">
        <v>154</v>
      </c>
    </row>
    <row r="25" spans="1:14" ht="16.5" customHeight="1" x14ac:dyDescent="0.25">
      <c r="A25" s="176">
        <v>0.8</v>
      </c>
      <c r="B25" s="73" t="s">
        <v>60</v>
      </c>
      <c r="C25" s="72">
        <v>284.58999999999997</v>
      </c>
      <c r="D25" s="70">
        <f t="shared" si="6"/>
        <v>227.67</v>
      </c>
      <c r="E25" s="72">
        <f t="shared" si="8"/>
        <v>56.919999999999987</v>
      </c>
      <c r="F25" s="72">
        <f t="shared" si="9"/>
        <v>22.767199999999999</v>
      </c>
      <c r="G25" s="76">
        <v>44547</v>
      </c>
      <c r="H25" s="74">
        <f t="shared" si="4"/>
        <v>44536</v>
      </c>
      <c r="I25" s="232">
        <f t="shared" si="10"/>
        <v>11</v>
      </c>
      <c r="J25" s="391">
        <f t="shared" si="11"/>
        <v>0</v>
      </c>
      <c r="K25" s="72">
        <f t="shared" si="7"/>
        <v>0</v>
      </c>
      <c r="L25" s="71" t="s">
        <v>150</v>
      </c>
      <c r="M25" s="71" t="s">
        <v>152</v>
      </c>
      <c r="N25" s="219"/>
    </row>
    <row r="26" spans="1:14" ht="16.5" customHeight="1" x14ac:dyDescent="0.25">
      <c r="A26" s="176">
        <v>0.8</v>
      </c>
      <c r="B26" s="73" t="s">
        <v>26</v>
      </c>
      <c r="C26" s="72">
        <v>6296.45</v>
      </c>
      <c r="D26" s="70">
        <f t="shared" si="6"/>
        <v>5037.16</v>
      </c>
      <c r="E26" s="72">
        <f t="shared" si="8"/>
        <v>1259.29</v>
      </c>
      <c r="F26" s="72">
        <f t="shared" si="9"/>
        <v>503.71600000000001</v>
      </c>
      <c r="G26" s="76">
        <v>44547</v>
      </c>
      <c r="H26" s="74">
        <f t="shared" si="4"/>
        <v>44536</v>
      </c>
      <c r="I26" s="232">
        <f t="shared" si="10"/>
        <v>11</v>
      </c>
      <c r="J26" s="391">
        <f t="shared" si="11"/>
        <v>0</v>
      </c>
      <c r="K26" s="72">
        <f t="shared" si="7"/>
        <v>0</v>
      </c>
      <c r="L26" s="71" t="s">
        <v>158</v>
      </c>
      <c r="M26" s="71" t="s">
        <v>151</v>
      </c>
    </row>
    <row r="27" spans="1:14" ht="16.5" customHeight="1" x14ac:dyDescent="0.25">
      <c r="A27" s="176">
        <v>0.8</v>
      </c>
      <c r="B27" s="73" t="s">
        <v>27</v>
      </c>
      <c r="C27" s="72">
        <v>3354.14</v>
      </c>
      <c r="D27" s="70">
        <f t="shared" si="6"/>
        <v>2683.31</v>
      </c>
      <c r="E27" s="72">
        <f t="shared" si="8"/>
        <v>670.82999999999993</v>
      </c>
      <c r="F27" s="72">
        <f t="shared" si="9"/>
        <v>268.33119999999997</v>
      </c>
      <c r="G27" s="76">
        <v>44547</v>
      </c>
      <c r="H27" s="74">
        <f t="shared" si="4"/>
        <v>44536</v>
      </c>
      <c r="I27" s="232">
        <f t="shared" si="10"/>
        <v>11</v>
      </c>
      <c r="J27" s="391">
        <f t="shared" si="11"/>
        <v>0</v>
      </c>
      <c r="K27" s="72">
        <f t="shared" si="7"/>
        <v>0</v>
      </c>
      <c r="L27" s="71" t="s">
        <v>150</v>
      </c>
      <c r="M27" s="71" t="s">
        <v>154</v>
      </c>
    </row>
    <row r="28" spans="1:14" ht="16.5" customHeight="1" x14ac:dyDescent="0.25">
      <c r="A28" s="176">
        <v>0.8</v>
      </c>
      <c r="B28" s="73" t="s">
        <v>28</v>
      </c>
      <c r="C28" s="72">
        <v>587.99</v>
      </c>
      <c r="D28" s="70">
        <f t="shared" si="6"/>
        <v>470.39</v>
      </c>
      <c r="E28" s="72">
        <f t="shared" si="8"/>
        <v>117.60000000000002</v>
      </c>
      <c r="F28" s="72">
        <f t="shared" si="9"/>
        <v>47.039200000000001</v>
      </c>
      <c r="G28" s="76">
        <v>44547</v>
      </c>
      <c r="H28" s="74">
        <f t="shared" si="4"/>
        <v>44536</v>
      </c>
      <c r="I28" s="232">
        <f t="shared" si="10"/>
        <v>11</v>
      </c>
      <c r="J28" s="391">
        <f t="shared" si="11"/>
        <v>0</v>
      </c>
      <c r="K28" s="72">
        <f t="shared" si="7"/>
        <v>0</v>
      </c>
      <c r="L28" s="71" t="s">
        <v>150</v>
      </c>
      <c r="M28" s="71" t="s">
        <v>154</v>
      </c>
    </row>
    <row r="29" spans="1:14" ht="16.5" customHeight="1" x14ac:dyDescent="0.25">
      <c r="A29" s="176">
        <v>0.8</v>
      </c>
      <c r="B29" s="73" t="s">
        <v>29</v>
      </c>
      <c r="C29" s="72">
        <v>2389.0500000000002</v>
      </c>
      <c r="D29" s="70">
        <f t="shared" si="6"/>
        <v>1911.24</v>
      </c>
      <c r="E29" s="72">
        <f t="shared" si="8"/>
        <v>477.81000000000017</v>
      </c>
      <c r="F29" s="72">
        <f t="shared" si="9"/>
        <v>191.12400000000002</v>
      </c>
      <c r="G29" s="76">
        <v>44547</v>
      </c>
      <c r="H29" s="74">
        <f t="shared" si="4"/>
        <v>44536</v>
      </c>
      <c r="I29" s="232">
        <f t="shared" si="10"/>
        <v>11</v>
      </c>
      <c r="J29" s="391">
        <f t="shared" si="11"/>
        <v>0</v>
      </c>
      <c r="K29" s="72">
        <f t="shared" si="7"/>
        <v>0</v>
      </c>
      <c r="L29" s="71" t="s">
        <v>150</v>
      </c>
      <c r="M29" s="71" t="s">
        <v>154</v>
      </c>
    </row>
    <row r="30" spans="1:14" ht="16.5" customHeight="1" x14ac:dyDescent="0.25">
      <c r="A30" s="176">
        <v>0.8</v>
      </c>
      <c r="B30" s="73" t="s">
        <v>30</v>
      </c>
      <c r="C30" s="72">
        <v>4188.24</v>
      </c>
      <c r="D30" s="70">
        <f t="shared" si="6"/>
        <v>3350.59</v>
      </c>
      <c r="E30" s="72">
        <f t="shared" si="8"/>
        <v>837.64999999999964</v>
      </c>
      <c r="F30" s="72">
        <f t="shared" si="9"/>
        <v>335.05919999999998</v>
      </c>
      <c r="G30" s="76">
        <v>44547</v>
      </c>
      <c r="H30" s="74">
        <f t="shared" si="4"/>
        <v>44536</v>
      </c>
      <c r="I30" s="232">
        <f t="shared" si="10"/>
        <v>11</v>
      </c>
      <c r="J30" s="391">
        <f t="shared" si="11"/>
        <v>0</v>
      </c>
      <c r="K30" s="72">
        <f t="shared" si="7"/>
        <v>0</v>
      </c>
      <c r="L30" s="71" t="s">
        <v>158</v>
      </c>
      <c r="M30" s="71" t="s">
        <v>151</v>
      </c>
      <c r="N30" s="219" t="s">
        <v>196</v>
      </c>
    </row>
    <row r="31" spans="1:14" ht="16.5" customHeight="1" x14ac:dyDescent="0.25">
      <c r="A31" s="176">
        <v>0.8</v>
      </c>
      <c r="B31" s="73" t="s">
        <v>31</v>
      </c>
      <c r="C31" s="72">
        <v>3585.17</v>
      </c>
      <c r="D31" s="70">
        <f t="shared" si="6"/>
        <v>2868.14</v>
      </c>
      <c r="E31" s="72">
        <f t="shared" si="8"/>
        <v>717.0300000000002</v>
      </c>
      <c r="F31" s="72">
        <f t="shared" si="9"/>
        <v>286.81360000000001</v>
      </c>
      <c r="G31" s="76">
        <v>44547</v>
      </c>
      <c r="H31" s="74">
        <f t="shared" si="4"/>
        <v>44536</v>
      </c>
      <c r="I31" s="232">
        <f t="shared" si="10"/>
        <v>11</v>
      </c>
      <c r="J31" s="391">
        <f t="shared" si="11"/>
        <v>0</v>
      </c>
      <c r="K31" s="72">
        <f t="shared" si="7"/>
        <v>0</v>
      </c>
      <c r="L31" s="71" t="s">
        <v>158</v>
      </c>
      <c r="M31" s="71" t="s">
        <v>151</v>
      </c>
      <c r="N31" s="219" t="s">
        <v>196</v>
      </c>
    </row>
    <row r="32" spans="1:14" ht="16.5" customHeight="1" x14ac:dyDescent="0.25">
      <c r="A32" s="176">
        <v>0.8</v>
      </c>
      <c r="B32" s="73" t="s">
        <v>32</v>
      </c>
      <c r="C32" s="72">
        <v>1866.28</v>
      </c>
      <c r="D32" s="70">
        <f t="shared" si="6"/>
        <v>1493.02</v>
      </c>
      <c r="E32" s="72">
        <f t="shared" si="8"/>
        <v>373.26</v>
      </c>
      <c r="F32" s="72">
        <f t="shared" si="9"/>
        <v>149.30240000000001</v>
      </c>
      <c r="G32" s="76">
        <v>44547</v>
      </c>
      <c r="H32" s="74">
        <f t="shared" si="4"/>
        <v>44536</v>
      </c>
      <c r="I32" s="232">
        <f t="shared" si="10"/>
        <v>11</v>
      </c>
      <c r="J32" s="391">
        <f t="shared" si="11"/>
        <v>0</v>
      </c>
      <c r="K32" s="72">
        <f t="shared" si="7"/>
        <v>0</v>
      </c>
      <c r="L32" s="71" t="s">
        <v>150</v>
      </c>
      <c r="M32" s="71" t="s">
        <v>154</v>
      </c>
    </row>
    <row r="33" spans="1:13" ht="16.5" customHeight="1" x14ac:dyDescent="0.25">
      <c r="A33" s="190"/>
      <c r="B33" s="314" t="s">
        <v>160</v>
      </c>
      <c r="C33" s="314">
        <f>SUM(C18:C32)</f>
        <v>45803.97</v>
      </c>
      <c r="D33" s="314">
        <f>SUM(D18:D32)</f>
        <v>34309.729999999996</v>
      </c>
      <c r="E33" s="327">
        <f>SUM(E18:E32)</f>
        <v>11494.24</v>
      </c>
      <c r="F33" s="314">
        <f>SUM(F18:F32)</f>
        <v>3664.3176000000008</v>
      </c>
      <c r="G33" s="315"/>
      <c r="H33" s="323"/>
      <c r="I33" s="315"/>
      <c r="J33" s="181"/>
      <c r="K33" s="181">
        <f>SUM(K18:K32)</f>
        <v>0</v>
      </c>
      <c r="L33" s="71" t="s">
        <v>150</v>
      </c>
      <c r="M33" s="71" t="s">
        <v>152</v>
      </c>
    </row>
    <row r="34" spans="1:13" ht="16.5" customHeight="1" x14ac:dyDescent="0.25">
      <c r="A34" s="313"/>
      <c r="B34" s="73" t="s">
        <v>33</v>
      </c>
      <c r="C34" s="72">
        <v>2338.85</v>
      </c>
      <c r="D34" s="70">
        <f>C34</f>
        <v>2338.85</v>
      </c>
      <c r="E34" s="72">
        <f>C34-D34</f>
        <v>0</v>
      </c>
      <c r="F34" s="70">
        <f>C34*8%</f>
        <v>187.108</v>
      </c>
      <c r="G34" s="309">
        <v>44547</v>
      </c>
      <c r="H34" s="74">
        <f>H32</f>
        <v>44536</v>
      </c>
      <c r="I34" s="324">
        <f>G34-H34</f>
        <v>11</v>
      </c>
      <c r="J34" s="391">
        <f>J32</f>
        <v>0</v>
      </c>
      <c r="K34" s="72">
        <f t="shared" ref="K34:K65" si="12">SUM(E34)*J34</f>
        <v>0</v>
      </c>
      <c r="L34" s="71"/>
      <c r="M34" s="71"/>
    </row>
    <row r="35" spans="1:13" ht="16.5" customHeight="1" x14ac:dyDescent="0.25">
      <c r="A35" s="313"/>
      <c r="B35" s="73" t="s">
        <v>34</v>
      </c>
      <c r="C35" s="72">
        <v>1286.76</v>
      </c>
      <c r="D35" s="70">
        <f t="shared" ref="D35:D95" si="13">C35</f>
        <v>1286.76</v>
      </c>
      <c r="E35" s="72">
        <f t="shared" ref="E35:E101" si="14">C35-D35</f>
        <v>0</v>
      </c>
      <c r="F35" s="70">
        <f t="shared" ref="F35:F101" si="15">C35*8%</f>
        <v>102.9408</v>
      </c>
      <c r="G35" s="309">
        <v>44547</v>
      </c>
      <c r="H35" s="74">
        <f>H34</f>
        <v>44536</v>
      </c>
      <c r="I35" s="324">
        <f t="shared" ref="I35:I95" si="16">G35-H35</f>
        <v>11</v>
      </c>
      <c r="J35" s="391">
        <f>J34</f>
        <v>0</v>
      </c>
      <c r="K35" s="72">
        <f t="shared" si="12"/>
        <v>0</v>
      </c>
      <c r="L35" s="71"/>
      <c r="M35" s="71"/>
    </row>
    <row r="36" spans="1:13" ht="16.5" customHeight="1" x14ac:dyDescent="0.25">
      <c r="A36" s="313"/>
      <c r="B36" s="73" t="s">
        <v>16</v>
      </c>
      <c r="C36" s="72">
        <v>2.78</v>
      </c>
      <c r="D36" s="70">
        <f t="shared" si="13"/>
        <v>2.78</v>
      </c>
      <c r="E36" s="72">
        <f t="shared" si="14"/>
        <v>0</v>
      </c>
      <c r="F36" s="70">
        <f t="shared" si="15"/>
        <v>0.22239999999999999</v>
      </c>
      <c r="G36" s="309">
        <v>44547</v>
      </c>
      <c r="H36" s="74">
        <f t="shared" ref="H36:H101" si="17">H34</f>
        <v>44536</v>
      </c>
      <c r="I36" s="324">
        <f t="shared" si="16"/>
        <v>11</v>
      </c>
      <c r="J36" s="391">
        <f t="shared" ref="J36:J96" si="18">J35</f>
        <v>0</v>
      </c>
      <c r="K36" s="72">
        <f t="shared" si="12"/>
        <v>0</v>
      </c>
      <c r="L36" s="71"/>
      <c r="M36" s="71"/>
    </row>
    <row r="37" spans="1:13" ht="16.5" customHeight="1" x14ac:dyDescent="0.25">
      <c r="A37" s="313"/>
      <c r="B37" s="73" t="s">
        <v>35</v>
      </c>
      <c r="C37" s="72">
        <v>102.54</v>
      </c>
      <c r="D37" s="70">
        <f t="shared" si="13"/>
        <v>102.54</v>
      </c>
      <c r="E37" s="72">
        <f t="shared" si="14"/>
        <v>0</v>
      </c>
      <c r="F37" s="70">
        <f t="shared" si="15"/>
        <v>8.2032000000000007</v>
      </c>
      <c r="G37" s="309">
        <v>44547</v>
      </c>
      <c r="H37" s="74">
        <f t="shared" si="17"/>
        <v>44536</v>
      </c>
      <c r="I37" s="324">
        <f t="shared" si="16"/>
        <v>11</v>
      </c>
      <c r="J37" s="391">
        <f t="shared" si="18"/>
        <v>0</v>
      </c>
      <c r="K37" s="72">
        <f t="shared" si="12"/>
        <v>0</v>
      </c>
      <c r="L37" s="71"/>
      <c r="M37" s="71"/>
    </row>
    <row r="38" spans="1:13" ht="16.5" customHeight="1" x14ac:dyDescent="0.25">
      <c r="A38" s="313"/>
      <c r="B38" s="73" t="s">
        <v>219</v>
      </c>
      <c r="C38" s="72">
        <v>822.11</v>
      </c>
      <c r="D38" s="70">
        <f t="shared" si="13"/>
        <v>822.11</v>
      </c>
      <c r="E38" s="72">
        <f t="shared" si="14"/>
        <v>0</v>
      </c>
      <c r="F38" s="70">
        <f t="shared" si="15"/>
        <v>65.768799999999999</v>
      </c>
      <c r="G38" s="309">
        <v>44539</v>
      </c>
      <c r="H38" s="74">
        <f t="shared" si="17"/>
        <v>44536</v>
      </c>
      <c r="I38" s="324">
        <f t="shared" si="16"/>
        <v>3</v>
      </c>
      <c r="J38" s="391">
        <f t="shared" si="18"/>
        <v>0</v>
      </c>
      <c r="K38" s="72">
        <f t="shared" si="12"/>
        <v>0</v>
      </c>
      <c r="L38" s="71"/>
      <c r="M38" s="71"/>
    </row>
    <row r="39" spans="1:13" ht="16.5" customHeight="1" x14ac:dyDescent="0.25">
      <c r="A39" s="313"/>
      <c r="B39" s="73" t="s">
        <v>37</v>
      </c>
      <c r="C39" s="72">
        <v>1700.68</v>
      </c>
      <c r="D39" s="70">
        <f t="shared" si="13"/>
        <v>1700.68</v>
      </c>
      <c r="E39" s="72">
        <f t="shared" si="14"/>
        <v>0</v>
      </c>
      <c r="F39" s="70">
        <f t="shared" si="15"/>
        <v>136.05440000000002</v>
      </c>
      <c r="G39" s="309">
        <v>44547</v>
      </c>
      <c r="H39" s="74">
        <f t="shared" si="17"/>
        <v>44536</v>
      </c>
      <c r="I39" s="324">
        <f t="shared" si="16"/>
        <v>11</v>
      </c>
      <c r="J39" s="391">
        <f t="shared" si="18"/>
        <v>0</v>
      </c>
      <c r="K39" s="72">
        <f t="shared" si="12"/>
        <v>0</v>
      </c>
      <c r="L39" s="71"/>
      <c r="M39" s="71"/>
    </row>
    <row r="40" spans="1:13" ht="16.5" customHeight="1" x14ac:dyDescent="0.25">
      <c r="A40" s="313"/>
      <c r="B40" s="73" t="s">
        <v>105</v>
      </c>
      <c r="C40" s="72">
        <v>238.63</v>
      </c>
      <c r="D40" s="70">
        <f t="shared" si="13"/>
        <v>238.63</v>
      </c>
      <c r="E40" s="72">
        <f t="shared" si="14"/>
        <v>0</v>
      </c>
      <c r="F40" s="70">
        <f t="shared" si="15"/>
        <v>19.090399999999999</v>
      </c>
      <c r="G40" s="309">
        <v>44539</v>
      </c>
      <c r="H40" s="74">
        <f t="shared" si="17"/>
        <v>44536</v>
      </c>
      <c r="I40" s="324">
        <f t="shared" si="16"/>
        <v>3</v>
      </c>
      <c r="J40" s="391">
        <f t="shared" si="18"/>
        <v>0</v>
      </c>
      <c r="K40" s="72">
        <f t="shared" si="12"/>
        <v>0</v>
      </c>
      <c r="L40" s="71"/>
      <c r="M40" s="71"/>
    </row>
    <row r="41" spans="1:13" ht="16.5" customHeight="1" x14ac:dyDescent="0.25">
      <c r="A41" s="313"/>
      <c r="B41" s="73" t="s">
        <v>38</v>
      </c>
      <c r="C41" s="72">
        <v>3604.2</v>
      </c>
      <c r="D41" s="70">
        <f t="shared" si="13"/>
        <v>3604.2</v>
      </c>
      <c r="E41" s="72">
        <f t="shared" si="14"/>
        <v>0</v>
      </c>
      <c r="F41" s="70">
        <f t="shared" si="15"/>
        <v>288.33600000000001</v>
      </c>
      <c r="G41" s="309">
        <v>44547</v>
      </c>
      <c r="H41" s="74">
        <f t="shared" si="17"/>
        <v>44536</v>
      </c>
      <c r="I41" s="324">
        <f t="shared" si="16"/>
        <v>11</v>
      </c>
      <c r="J41" s="391">
        <f t="shared" si="18"/>
        <v>0</v>
      </c>
      <c r="K41" s="72">
        <f t="shared" si="12"/>
        <v>0</v>
      </c>
      <c r="L41" s="71"/>
      <c r="M41" s="71"/>
    </row>
    <row r="42" spans="1:13" ht="16.5" customHeight="1" x14ac:dyDescent="0.25">
      <c r="A42" s="313"/>
      <c r="B42" s="73" t="s">
        <v>39</v>
      </c>
      <c r="C42" s="72">
        <v>10.75</v>
      </c>
      <c r="D42" s="70">
        <f t="shared" si="13"/>
        <v>10.75</v>
      </c>
      <c r="E42" s="72">
        <f t="shared" si="14"/>
        <v>0</v>
      </c>
      <c r="F42" s="70">
        <f t="shared" si="15"/>
        <v>0.86</v>
      </c>
      <c r="G42" s="309">
        <v>44547</v>
      </c>
      <c r="H42" s="74">
        <f t="shared" si="17"/>
        <v>44536</v>
      </c>
      <c r="I42" s="324">
        <f t="shared" si="16"/>
        <v>11</v>
      </c>
      <c r="J42" s="391">
        <f t="shared" si="18"/>
        <v>0</v>
      </c>
      <c r="K42" s="72">
        <f t="shared" si="12"/>
        <v>0</v>
      </c>
      <c r="L42" s="71"/>
      <c r="M42" s="71"/>
    </row>
    <row r="43" spans="1:13" ht="16.5" customHeight="1" x14ac:dyDescent="0.25">
      <c r="A43" s="313"/>
      <c r="B43" s="73" t="s">
        <v>40</v>
      </c>
      <c r="C43" s="72">
        <v>17.32</v>
      </c>
      <c r="D43" s="70">
        <f t="shared" si="13"/>
        <v>17.32</v>
      </c>
      <c r="E43" s="72">
        <f t="shared" si="14"/>
        <v>0</v>
      </c>
      <c r="F43" s="70">
        <f t="shared" si="15"/>
        <v>1.3855999999999999</v>
      </c>
      <c r="G43" s="309">
        <v>44547</v>
      </c>
      <c r="H43" s="74">
        <f t="shared" si="17"/>
        <v>44536</v>
      </c>
      <c r="I43" s="324">
        <f t="shared" si="16"/>
        <v>11</v>
      </c>
      <c r="J43" s="391">
        <f t="shared" si="18"/>
        <v>0</v>
      </c>
      <c r="K43" s="72">
        <f t="shared" si="12"/>
        <v>0</v>
      </c>
      <c r="L43" s="71"/>
      <c r="M43" s="71"/>
    </row>
    <row r="44" spans="1:13" ht="16.5" customHeight="1" x14ac:dyDescent="0.25">
      <c r="A44" s="313"/>
      <c r="B44" s="73" t="s">
        <v>41</v>
      </c>
      <c r="C44" s="72">
        <v>6.78</v>
      </c>
      <c r="D44" s="70">
        <f t="shared" si="13"/>
        <v>6.78</v>
      </c>
      <c r="E44" s="72">
        <f t="shared" si="14"/>
        <v>0</v>
      </c>
      <c r="F44" s="70">
        <f t="shared" si="15"/>
        <v>0.54239999999999999</v>
      </c>
      <c r="G44" s="309">
        <v>44547</v>
      </c>
      <c r="H44" s="74">
        <f t="shared" si="17"/>
        <v>44536</v>
      </c>
      <c r="I44" s="324">
        <f t="shared" si="16"/>
        <v>11</v>
      </c>
      <c r="J44" s="391">
        <f t="shared" si="18"/>
        <v>0</v>
      </c>
      <c r="K44" s="72">
        <f t="shared" si="12"/>
        <v>0</v>
      </c>
      <c r="L44" s="71"/>
      <c r="M44" s="71"/>
    </row>
    <row r="45" spans="1:13" ht="16.5" customHeight="1" x14ac:dyDescent="0.25">
      <c r="A45" s="313"/>
      <c r="B45" s="73" t="s">
        <v>42</v>
      </c>
      <c r="C45" s="72">
        <v>1700.62</v>
      </c>
      <c r="D45" s="70">
        <f t="shared" si="13"/>
        <v>1700.62</v>
      </c>
      <c r="E45" s="72">
        <f t="shared" si="14"/>
        <v>0</v>
      </c>
      <c r="F45" s="70">
        <f t="shared" si="15"/>
        <v>136.0496</v>
      </c>
      <c r="G45" s="309">
        <v>44547</v>
      </c>
      <c r="H45" s="74">
        <f t="shared" si="17"/>
        <v>44536</v>
      </c>
      <c r="I45" s="324">
        <f t="shared" si="16"/>
        <v>11</v>
      </c>
      <c r="J45" s="391">
        <f t="shared" si="18"/>
        <v>0</v>
      </c>
      <c r="K45" s="72">
        <f t="shared" si="12"/>
        <v>0</v>
      </c>
      <c r="L45" s="71"/>
      <c r="M45" s="71"/>
    </row>
    <row r="46" spans="1:13" ht="16.5" customHeight="1" x14ac:dyDescent="0.25">
      <c r="A46" s="313"/>
      <c r="B46" s="73" t="s">
        <v>43</v>
      </c>
      <c r="C46" s="72">
        <v>51.27</v>
      </c>
      <c r="D46" s="70">
        <f t="shared" si="13"/>
        <v>51.27</v>
      </c>
      <c r="E46" s="72">
        <f t="shared" si="14"/>
        <v>0</v>
      </c>
      <c r="F46" s="70">
        <f t="shared" si="15"/>
        <v>4.1016000000000004</v>
      </c>
      <c r="G46" s="309">
        <v>44536</v>
      </c>
      <c r="H46" s="74">
        <f t="shared" si="17"/>
        <v>44536</v>
      </c>
      <c r="I46" s="324">
        <f t="shared" si="16"/>
        <v>0</v>
      </c>
      <c r="J46" s="391">
        <f t="shared" si="18"/>
        <v>0</v>
      </c>
      <c r="K46" s="72">
        <f t="shared" si="12"/>
        <v>0</v>
      </c>
      <c r="L46" s="71"/>
      <c r="M46" s="71"/>
    </row>
    <row r="47" spans="1:13" ht="16.5" customHeight="1" x14ac:dyDescent="0.25">
      <c r="A47" s="313"/>
      <c r="B47" s="73" t="s">
        <v>44</v>
      </c>
      <c r="C47" s="72">
        <v>263.98</v>
      </c>
      <c r="D47" s="70">
        <f t="shared" si="13"/>
        <v>263.98</v>
      </c>
      <c r="E47" s="72">
        <f t="shared" si="14"/>
        <v>0</v>
      </c>
      <c r="F47" s="70">
        <f t="shared" si="15"/>
        <v>21.118400000000001</v>
      </c>
      <c r="G47" s="309">
        <v>44547</v>
      </c>
      <c r="H47" s="74">
        <f t="shared" si="17"/>
        <v>44536</v>
      </c>
      <c r="I47" s="324">
        <f t="shared" si="16"/>
        <v>11</v>
      </c>
      <c r="J47" s="391">
        <f t="shared" si="18"/>
        <v>0</v>
      </c>
      <c r="K47" s="72">
        <f t="shared" si="12"/>
        <v>0</v>
      </c>
      <c r="L47" s="71"/>
      <c r="M47" s="71"/>
    </row>
    <row r="48" spans="1:13" ht="16.5" customHeight="1" x14ac:dyDescent="0.25">
      <c r="A48" s="313"/>
      <c r="B48" s="73" t="s">
        <v>46</v>
      </c>
      <c r="C48" s="72">
        <v>10.75</v>
      </c>
      <c r="D48" s="70">
        <f t="shared" si="13"/>
        <v>10.75</v>
      </c>
      <c r="E48" s="72">
        <f t="shared" si="14"/>
        <v>0</v>
      </c>
      <c r="F48" s="70">
        <f t="shared" si="15"/>
        <v>0.86</v>
      </c>
      <c r="G48" s="309">
        <v>44547</v>
      </c>
      <c r="H48" s="74">
        <f>H47</f>
        <v>44536</v>
      </c>
      <c r="I48" s="324">
        <f t="shared" si="16"/>
        <v>11</v>
      </c>
      <c r="J48" s="391">
        <f>J47</f>
        <v>0</v>
      </c>
      <c r="K48" s="72">
        <f t="shared" si="12"/>
        <v>0</v>
      </c>
      <c r="L48" s="71"/>
      <c r="M48" s="71"/>
    </row>
    <row r="49" spans="1:13" ht="16.5" customHeight="1" x14ac:dyDescent="0.25">
      <c r="A49" s="313"/>
      <c r="B49" s="73" t="s">
        <v>47</v>
      </c>
      <c r="C49" s="72">
        <v>204.14</v>
      </c>
      <c r="D49" s="70">
        <f t="shared" si="13"/>
        <v>204.14</v>
      </c>
      <c r="E49" s="72">
        <f t="shared" si="14"/>
        <v>0</v>
      </c>
      <c r="F49" s="70">
        <f t="shared" si="15"/>
        <v>16.331199999999999</v>
      </c>
      <c r="G49" s="309">
        <v>44547</v>
      </c>
      <c r="H49" s="74" t="e">
        <f>#REF!</f>
        <v>#REF!</v>
      </c>
      <c r="I49" s="324" t="e">
        <f t="shared" si="16"/>
        <v>#REF!</v>
      </c>
      <c r="J49" s="391">
        <f t="shared" si="18"/>
        <v>0</v>
      </c>
      <c r="K49" s="72">
        <f t="shared" si="12"/>
        <v>0</v>
      </c>
      <c r="L49" s="71"/>
      <c r="M49" s="71"/>
    </row>
    <row r="50" spans="1:13" ht="16.5" customHeight="1" x14ac:dyDescent="0.25">
      <c r="A50" s="313"/>
      <c r="B50" s="73" t="s">
        <v>49</v>
      </c>
      <c r="C50" s="72">
        <v>1309.94</v>
      </c>
      <c r="D50" s="70">
        <f t="shared" si="13"/>
        <v>1309.94</v>
      </c>
      <c r="E50" s="72">
        <f t="shared" si="14"/>
        <v>0</v>
      </c>
      <c r="F50" s="70">
        <f t="shared" si="15"/>
        <v>104.79520000000001</v>
      </c>
      <c r="G50" s="309">
        <v>44547</v>
      </c>
      <c r="H50" s="74">
        <f t="shared" si="17"/>
        <v>44536</v>
      </c>
      <c r="I50" s="324">
        <f t="shared" si="16"/>
        <v>11</v>
      </c>
      <c r="J50" s="391">
        <f t="shared" si="18"/>
        <v>0</v>
      </c>
      <c r="K50" s="72">
        <f t="shared" si="12"/>
        <v>0</v>
      </c>
      <c r="L50" s="71"/>
      <c r="M50" s="71"/>
    </row>
    <row r="51" spans="1:13" ht="16.5" customHeight="1" x14ac:dyDescent="0.25">
      <c r="A51" s="313"/>
      <c r="B51" s="73" t="s">
        <v>50</v>
      </c>
      <c r="C51" s="72">
        <v>1198.57</v>
      </c>
      <c r="D51" s="70">
        <f t="shared" si="13"/>
        <v>1198.57</v>
      </c>
      <c r="E51" s="72">
        <f t="shared" si="14"/>
        <v>0</v>
      </c>
      <c r="F51" s="70">
        <f t="shared" si="15"/>
        <v>95.885599999999997</v>
      </c>
      <c r="G51" s="309">
        <v>44538</v>
      </c>
      <c r="H51" s="74" t="e">
        <f t="shared" si="17"/>
        <v>#REF!</v>
      </c>
      <c r="I51" s="324" t="e">
        <f t="shared" si="16"/>
        <v>#REF!</v>
      </c>
      <c r="J51" s="391">
        <f t="shared" si="18"/>
        <v>0</v>
      </c>
      <c r="K51" s="72">
        <f t="shared" si="12"/>
        <v>0</v>
      </c>
      <c r="L51" s="71"/>
      <c r="M51" s="71"/>
    </row>
    <row r="52" spans="1:13" ht="16.5" customHeight="1" x14ac:dyDescent="0.25">
      <c r="A52" s="313"/>
      <c r="B52" s="73" t="s">
        <v>51</v>
      </c>
      <c r="C52" s="72">
        <v>189.92</v>
      </c>
      <c r="D52" s="70">
        <f t="shared" si="13"/>
        <v>189.92</v>
      </c>
      <c r="E52" s="72">
        <f t="shared" si="14"/>
        <v>0</v>
      </c>
      <c r="F52" s="70">
        <f t="shared" si="15"/>
        <v>15.1936</v>
      </c>
      <c r="G52" s="309">
        <v>44547</v>
      </c>
      <c r="H52" s="74">
        <f t="shared" si="17"/>
        <v>44536</v>
      </c>
      <c r="I52" s="324">
        <f t="shared" si="16"/>
        <v>11</v>
      </c>
      <c r="J52" s="391">
        <f t="shared" si="18"/>
        <v>0</v>
      </c>
      <c r="K52" s="72">
        <f t="shared" si="12"/>
        <v>0</v>
      </c>
      <c r="L52" s="71"/>
      <c r="M52" s="71"/>
    </row>
    <row r="53" spans="1:13" ht="16.5" customHeight="1" x14ac:dyDescent="0.25">
      <c r="A53" s="313"/>
      <c r="B53" s="73" t="s">
        <v>52</v>
      </c>
      <c r="C53" s="72">
        <v>58.61</v>
      </c>
      <c r="D53" s="70">
        <f t="shared" si="13"/>
        <v>58.61</v>
      </c>
      <c r="E53" s="72">
        <f t="shared" si="14"/>
        <v>0</v>
      </c>
      <c r="F53" s="70">
        <f t="shared" si="15"/>
        <v>4.6887999999999996</v>
      </c>
      <c r="G53" s="309">
        <v>44547</v>
      </c>
      <c r="H53" s="74" t="e">
        <f t="shared" si="17"/>
        <v>#REF!</v>
      </c>
      <c r="I53" s="324" t="e">
        <f t="shared" si="16"/>
        <v>#REF!</v>
      </c>
      <c r="J53" s="391">
        <f t="shared" si="18"/>
        <v>0</v>
      </c>
      <c r="K53" s="72">
        <f t="shared" si="12"/>
        <v>0</v>
      </c>
      <c r="L53" s="71"/>
      <c r="M53" s="71"/>
    </row>
    <row r="54" spans="1:13" ht="16.5" customHeight="1" x14ac:dyDescent="0.25">
      <c r="A54" s="313"/>
      <c r="B54" s="73" t="s">
        <v>53</v>
      </c>
      <c r="C54" s="72">
        <v>2404.02</v>
      </c>
      <c r="D54" s="70">
        <f t="shared" si="13"/>
        <v>2404.02</v>
      </c>
      <c r="E54" s="72">
        <f t="shared" si="14"/>
        <v>0</v>
      </c>
      <c r="F54" s="70">
        <f t="shared" si="15"/>
        <v>192.32159999999999</v>
      </c>
      <c r="G54" s="309">
        <v>44547</v>
      </c>
      <c r="H54" s="74">
        <f t="shared" si="17"/>
        <v>44536</v>
      </c>
      <c r="I54" s="324">
        <f t="shared" si="16"/>
        <v>11</v>
      </c>
      <c r="J54" s="391">
        <f t="shared" si="18"/>
        <v>0</v>
      </c>
      <c r="K54" s="72">
        <f t="shared" si="12"/>
        <v>0</v>
      </c>
      <c r="L54" s="71"/>
      <c r="M54" s="71"/>
    </row>
    <row r="55" spans="1:13" ht="16.5" customHeight="1" x14ac:dyDescent="0.25">
      <c r="A55" s="313"/>
      <c r="B55" s="73" t="s">
        <v>54</v>
      </c>
      <c r="C55" s="72">
        <v>15.46</v>
      </c>
      <c r="D55" s="70">
        <f t="shared" si="13"/>
        <v>15.46</v>
      </c>
      <c r="E55" s="72">
        <f t="shared" si="14"/>
        <v>0</v>
      </c>
      <c r="F55" s="70">
        <f t="shared" si="15"/>
        <v>1.2368000000000001</v>
      </c>
      <c r="G55" s="309">
        <v>44547</v>
      </c>
      <c r="H55" s="74" t="e">
        <f t="shared" si="17"/>
        <v>#REF!</v>
      </c>
      <c r="I55" s="324" t="e">
        <f t="shared" si="16"/>
        <v>#REF!</v>
      </c>
      <c r="J55" s="391">
        <f t="shared" si="18"/>
        <v>0</v>
      </c>
      <c r="K55" s="72">
        <f t="shared" si="12"/>
        <v>0</v>
      </c>
      <c r="L55" s="71"/>
      <c r="M55" s="71"/>
    </row>
    <row r="56" spans="1:13" ht="16.5" customHeight="1" x14ac:dyDescent="0.25">
      <c r="A56" s="313"/>
      <c r="B56" s="73" t="s">
        <v>55</v>
      </c>
      <c r="C56" s="72">
        <v>7.69</v>
      </c>
      <c r="D56" s="70">
        <f t="shared" si="13"/>
        <v>7.69</v>
      </c>
      <c r="E56" s="72">
        <f t="shared" si="14"/>
        <v>0</v>
      </c>
      <c r="F56" s="70">
        <f t="shared" si="15"/>
        <v>0.61520000000000008</v>
      </c>
      <c r="G56" s="309">
        <v>44547</v>
      </c>
      <c r="H56" s="74">
        <f t="shared" si="17"/>
        <v>44536</v>
      </c>
      <c r="I56" s="324">
        <f t="shared" si="16"/>
        <v>11</v>
      </c>
      <c r="J56" s="391">
        <f t="shared" si="18"/>
        <v>0</v>
      </c>
      <c r="K56" s="72">
        <f t="shared" si="12"/>
        <v>0</v>
      </c>
      <c r="L56" s="71"/>
      <c r="M56" s="71"/>
    </row>
    <row r="57" spans="1:13" ht="16.5" customHeight="1" x14ac:dyDescent="0.25">
      <c r="A57" s="313"/>
      <c r="B57" s="73" t="s">
        <v>56</v>
      </c>
      <c r="C57" s="72">
        <v>128.62</v>
      </c>
      <c r="D57" s="70">
        <f t="shared" si="13"/>
        <v>128.62</v>
      </c>
      <c r="E57" s="72">
        <f t="shared" si="14"/>
        <v>0</v>
      </c>
      <c r="F57" s="70">
        <f t="shared" si="15"/>
        <v>10.2896</v>
      </c>
      <c r="G57" s="309">
        <v>44547</v>
      </c>
      <c r="H57" s="74" t="e">
        <f t="shared" si="17"/>
        <v>#REF!</v>
      </c>
      <c r="I57" s="324" t="e">
        <f t="shared" si="16"/>
        <v>#REF!</v>
      </c>
      <c r="J57" s="391">
        <f t="shared" si="18"/>
        <v>0</v>
      </c>
      <c r="K57" s="72">
        <f t="shared" si="12"/>
        <v>0</v>
      </c>
      <c r="L57" s="71"/>
      <c r="M57" s="71"/>
    </row>
    <row r="58" spans="1:13" ht="16.5" customHeight="1" x14ac:dyDescent="0.25">
      <c r="A58" s="313"/>
      <c r="B58" s="73" t="s">
        <v>57</v>
      </c>
      <c r="C58" s="72">
        <v>7.36</v>
      </c>
      <c r="D58" s="70">
        <f t="shared" si="13"/>
        <v>7.36</v>
      </c>
      <c r="E58" s="72">
        <f t="shared" si="14"/>
        <v>0</v>
      </c>
      <c r="F58" s="70">
        <f t="shared" si="15"/>
        <v>0.58879999999999999</v>
      </c>
      <c r="G58" s="309">
        <v>44547</v>
      </c>
      <c r="H58" s="74">
        <f t="shared" si="17"/>
        <v>44536</v>
      </c>
      <c r="I58" s="324">
        <f t="shared" si="16"/>
        <v>11</v>
      </c>
      <c r="J58" s="391">
        <f t="shared" si="18"/>
        <v>0</v>
      </c>
      <c r="K58" s="72">
        <f t="shared" si="12"/>
        <v>0</v>
      </c>
      <c r="L58" s="71"/>
      <c r="M58" s="71"/>
    </row>
    <row r="59" spans="1:13" ht="16.5" customHeight="1" x14ac:dyDescent="0.25">
      <c r="A59" s="313"/>
      <c r="B59" s="73" t="s">
        <v>220</v>
      </c>
      <c r="C59" s="72">
        <v>1154.01</v>
      </c>
      <c r="D59" s="70">
        <f t="shared" si="13"/>
        <v>1154.01</v>
      </c>
      <c r="E59" s="72">
        <f t="shared" si="14"/>
        <v>0</v>
      </c>
      <c r="F59" s="70">
        <f t="shared" si="15"/>
        <v>92.320800000000006</v>
      </c>
      <c r="G59" s="309">
        <v>44539</v>
      </c>
      <c r="H59" s="74" t="e">
        <f t="shared" si="17"/>
        <v>#REF!</v>
      </c>
      <c r="I59" s="324" t="e">
        <f t="shared" si="16"/>
        <v>#REF!</v>
      </c>
      <c r="J59" s="391">
        <f t="shared" si="18"/>
        <v>0</v>
      </c>
      <c r="K59" s="72">
        <f t="shared" si="12"/>
        <v>0</v>
      </c>
      <c r="L59" s="71"/>
      <c r="M59" s="71"/>
    </row>
    <row r="60" spans="1:13" ht="16.5" customHeight="1" x14ac:dyDescent="0.25">
      <c r="A60" s="313"/>
      <c r="B60" s="73" t="s">
        <v>122</v>
      </c>
      <c r="C60" s="72">
        <v>86.78</v>
      </c>
      <c r="D60" s="70">
        <f t="shared" si="13"/>
        <v>86.78</v>
      </c>
      <c r="E60" s="72">
        <f t="shared" si="14"/>
        <v>0</v>
      </c>
      <c r="F60" s="70">
        <f t="shared" si="15"/>
        <v>6.9424000000000001</v>
      </c>
      <c r="G60" s="309">
        <v>44547</v>
      </c>
      <c r="H60" s="74">
        <f t="shared" si="17"/>
        <v>44536</v>
      </c>
      <c r="I60" s="324">
        <f t="shared" si="16"/>
        <v>11</v>
      </c>
      <c r="J60" s="391">
        <f t="shared" si="18"/>
        <v>0</v>
      </c>
      <c r="K60" s="72">
        <f t="shared" si="12"/>
        <v>0</v>
      </c>
      <c r="L60" s="71"/>
      <c r="M60" s="71"/>
    </row>
    <row r="61" spans="1:13" ht="16.5" customHeight="1" x14ac:dyDescent="0.25">
      <c r="A61" s="313"/>
      <c r="B61" s="73" t="s">
        <v>4</v>
      </c>
      <c r="C61" s="72">
        <v>394.27</v>
      </c>
      <c r="D61" s="70">
        <f t="shared" si="13"/>
        <v>394.27</v>
      </c>
      <c r="E61" s="72">
        <f t="shared" si="14"/>
        <v>0</v>
      </c>
      <c r="F61" s="70">
        <f t="shared" si="15"/>
        <v>31.541599999999999</v>
      </c>
      <c r="G61" s="309">
        <v>44547</v>
      </c>
      <c r="H61" s="74" t="e">
        <f t="shared" si="17"/>
        <v>#REF!</v>
      </c>
      <c r="I61" s="324" t="e">
        <f t="shared" si="16"/>
        <v>#REF!</v>
      </c>
      <c r="J61" s="391">
        <f t="shared" si="18"/>
        <v>0</v>
      </c>
      <c r="K61" s="72">
        <f t="shared" si="12"/>
        <v>0</v>
      </c>
      <c r="L61" s="71"/>
      <c r="M61" s="71"/>
    </row>
    <row r="62" spans="1:13" ht="16.5" customHeight="1" x14ac:dyDescent="0.25">
      <c r="A62" s="313"/>
      <c r="B62" s="73" t="s">
        <v>221</v>
      </c>
      <c r="C62" s="72">
        <v>567.21</v>
      </c>
      <c r="D62" s="70">
        <f t="shared" si="13"/>
        <v>567.21</v>
      </c>
      <c r="E62" s="72">
        <f t="shared" si="14"/>
        <v>0</v>
      </c>
      <c r="F62" s="70">
        <f t="shared" si="15"/>
        <v>45.376800000000003</v>
      </c>
      <c r="G62" s="309">
        <v>44539</v>
      </c>
      <c r="H62" s="74">
        <f t="shared" si="17"/>
        <v>44536</v>
      </c>
      <c r="I62" s="324">
        <f t="shared" si="16"/>
        <v>3</v>
      </c>
      <c r="J62" s="391">
        <f t="shared" si="18"/>
        <v>0</v>
      </c>
      <c r="K62" s="72">
        <f t="shared" si="12"/>
        <v>0</v>
      </c>
      <c r="L62" s="71"/>
      <c r="M62" s="71"/>
    </row>
    <row r="63" spans="1:13" ht="16.5" customHeight="1" x14ac:dyDescent="0.25">
      <c r="A63" s="313"/>
      <c r="B63" s="73" t="s">
        <v>58</v>
      </c>
      <c r="C63" s="72">
        <v>8.25</v>
      </c>
      <c r="D63" s="70">
        <f t="shared" si="13"/>
        <v>8.25</v>
      </c>
      <c r="E63" s="72">
        <f t="shared" si="14"/>
        <v>0</v>
      </c>
      <c r="F63" s="70">
        <f t="shared" si="15"/>
        <v>0.66</v>
      </c>
      <c r="G63" s="309">
        <v>44547</v>
      </c>
      <c r="H63" s="74" t="e">
        <f t="shared" si="17"/>
        <v>#REF!</v>
      </c>
      <c r="I63" s="324" t="e">
        <f t="shared" si="16"/>
        <v>#REF!</v>
      </c>
      <c r="J63" s="391">
        <f t="shared" si="18"/>
        <v>0</v>
      </c>
      <c r="K63" s="72">
        <f t="shared" si="12"/>
        <v>0</v>
      </c>
      <c r="L63" s="71"/>
      <c r="M63" s="71"/>
    </row>
    <row r="64" spans="1:13" ht="16.5" customHeight="1" x14ac:dyDescent="0.25">
      <c r="A64" s="313"/>
      <c r="B64" s="73" t="s">
        <v>59</v>
      </c>
      <c r="C64" s="72">
        <v>69.25</v>
      </c>
      <c r="D64" s="70">
        <f t="shared" si="13"/>
        <v>69.25</v>
      </c>
      <c r="E64" s="72">
        <f t="shared" si="14"/>
        <v>0</v>
      </c>
      <c r="F64" s="70">
        <f t="shared" si="15"/>
        <v>5.54</v>
      </c>
      <c r="G64" s="309">
        <v>44547</v>
      </c>
      <c r="H64" s="74">
        <f t="shared" si="17"/>
        <v>44536</v>
      </c>
      <c r="I64" s="324">
        <f t="shared" si="16"/>
        <v>11</v>
      </c>
      <c r="J64" s="391">
        <f t="shared" si="18"/>
        <v>0</v>
      </c>
      <c r="K64" s="72">
        <f t="shared" si="12"/>
        <v>0</v>
      </c>
      <c r="L64" s="71"/>
      <c r="M64" s="71"/>
    </row>
    <row r="65" spans="1:13" ht="16.5" customHeight="1" x14ac:dyDescent="0.25">
      <c r="A65" s="313"/>
      <c r="B65" s="73" t="s">
        <v>62</v>
      </c>
      <c r="C65" s="72">
        <v>5.0599999999999996</v>
      </c>
      <c r="D65" s="70">
        <f t="shared" si="13"/>
        <v>5.0599999999999996</v>
      </c>
      <c r="E65" s="72">
        <f t="shared" si="14"/>
        <v>0</v>
      </c>
      <c r="F65" s="70">
        <f t="shared" si="15"/>
        <v>0.40479999999999999</v>
      </c>
      <c r="G65" s="309">
        <v>44547</v>
      </c>
      <c r="H65" s="74" t="e">
        <f t="shared" si="17"/>
        <v>#REF!</v>
      </c>
      <c r="I65" s="324" t="e">
        <f t="shared" si="16"/>
        <v>#REF!</v>
      </c>
      <c r="J65" s="391">
        <f t="shared" si="18"/>
        <v>0</v>
      </c>
      <c r="K65" s="72">
        <f t="shared" si="12"/>
        <v>0</v>
      </c>
      <c r="L65" s="71"/>
      <c r="M65" s="71"/>
    </row>
    <row r="66" spans="1:13" ht="16.5" customHeight="1" x14ac:dyDescent="0.25">
      <c r="A66" s="313"/>
      <c r="B66" s="73" t="s">
        <v>63</v>
      </c>
      <c r="C66" s="72">
        <v>52.11</v>
      </c>
      <c r="D66" s="70">
        <f t="shared" si="13"/>
        <v>52.11</v>
      </c>
      <c r="E66" s="72">
        <f t="shared" si="14"/>
        <v>0</v>
      </c>
      <c r="F66" s="70">
        <f t="shared" si="15"/>
        <v>4.1688000000000001</v>
      </c>
      <c r="G66" s="309">
        <v>44547</v>
      </c>
      <c r="H66" s="74">
        <f t="shared" si="17"/>
        <v>44536</v>
      </c>
      <c r="I66" s="324">
        <f t="shared" si="16"/>
        <v>11</v>
      </c>
      <c r="J66" s="391">
        <f t="shared" si="18"/>
        <v>0</v>
      </c>
      <c r="K66" s="72">
        <f t="shared" ref="K66:K97" si="19">SUM(E66)*J66</f>
        <v>0</v>
      </c>
      <c r="L66" s="71"/>
      <c r="M66" s="71"/>
    </row>
    <row r="67" spans="1:13" ht="16.5" customHeight="1" x14ac:dyDescent="0.25">
      <c r="A67" s="313"/>
      <c r="B67" s="73" t="s">
        <v>64</v>
      </c>
      <c r="C67" s="72">
        <v>19.14</v>
      </c>
      <c r="D67" s="70">
        <f t="shared" si="13"/>
        <v>19.14</v>
      </c>
      <c r="E67" s="72">
        <f t="shared" si="14"/>
        <v>0</v>
      </c>
      <c r="F67" s="70">
        <f t="shared" si="15"/>
        <v>1.5312000000000001</v>
      </c>
      <c r="G67" s="309">
        <v>44547</v>
      </c>
      <c r="H67" s="74" t="e">
        <f t="shared" si="17"/>
        <v>#REF!</v>
      </c>
      <c r="I67" s="324" t="e">
        <f t="shared" si="16"/>
        <v>#REF!</v>
      </c>
      <c r="J67" s="391">
        <f t="shared" si="18"/>
        <v>0</v>
      </c>
      <c r="K67" s="72">
        <f t="shared" si="19"/>
        <v>0</v>
      </c>
      <c r="L67" s="71"/>
      <c r="M67" s="71"/>
    </row>
    <row r="68" spans="1:13" ht="16.5" customHeight="1" x14ac:dyDescent="0.25">
      <c r="A68" s="313"/>
      <c r="B68" s="73" t="s">
        <v>65</v>
      </c>
      <c r="C68" s="72">
        <v>560.01</v>
      </c>
      <c r="D68" s="70">
        <f t="shared" si="13"/>
        <v>560.01</v>
      </c>
      <c r="E68" s="72">
        <f t="shared" si="14"/>
        <v>0</v>
      </c>
      <c r="F68" s="70">
        <f t="shared" si="15"/>
        <v>44.800800000000002</v>
      </c>
      <c r="G68" s="309">
        <v>44547</v>
      </c>
      <c r="H68" s="74">
        <f t="shared" si="17"/>
        <v>44536</v>
      </c>
      <c r="I68" s="324">
        <f t="shared" si="16"/>
        <v>11</v>
      </c>
      <c r="J68" s="391">
        <f t="shared" si="18"/>
        <v>0</v>
      </c>
      <c r="K68" s="72">
        <f t="shared" si="19"/>
        <v>0</v>
      </c>
      <c r="L68" s="71"/>
      <c r="M68" s="71"/>
    </row>
    <row r="69" spans="1:13" ht="16.5" customHeight="1" x14ac:dyDescent="0.25">
      <c r="A69" s="313"/>
      <c r="B69" s="73" t="s">
        <v>66</v>
      </c>
      <c r="C69" s="72">
        <v>1338.54</v>
      </c>
      <c r="D69" s="70">
        <f t="shared" si="13"/>
        <v>1338.54</v>
      </c>
      <c r="E69" s="72">
        <f t="shared" si="14"/>
        <v>0</v>
      </c>
      <c r="F69" s="70">
        <f t="shared" si="15"/>
        <v>107.08320000000001</v>
      </c>
      <c r="G69" s="309">
        <v>44547</v>
      </c>
      <c r="H69" s="74" t="e">
        <f t="shared" si="17"/>
        <v>#REF!</v>
      </c>
      <c r="I69" s="324" t="e">
        <f t="shared" si="16"/>
        <v>#REF!</v>
      </c>
      <c r="J69" s="391">
        <f t="shared" si="18"/>
        <v>0</v>
      </c>
      <c r="K69" s="72">
        <f t="shared" si="19"/>
        <v>0</v>
      </c>
      <c r="L69" s="71"/>
      <c r="M69" s="71"/>
    </row>
    <row r="70" spans="1:13" ht="16.5" customHeight="1" x14ac:dyDescent="0.25">
      <c r="A70" s="313"/>
      <c r="B70" s="73" t="s">
        <v>67</v>
      </c>
      <c r="C70" s="72">
        <v>82.68</v>
      </c>
      <c r="D70" s="70">
        <f t="shared" si="13"/>
        <v>82.68</v>
      </c>
      <c r="E70" s="72">
        <f t="shared" si="14"/>
        <v>0</v>
      </c>
      <c r="F70" s="70">
        <f t="shared" si="15"/>
        <v>6.6144000000000007</v>
      </c>
      <c r="G70" s="309">
        <v>44539</v>
      </c>
      <c r="H70" s="74">
        <f t="shared" si="17"/>
        <v>44536</v>
      </c>
      <c r="I70" s="324">
        <f t="shared" si="16"/>
        <v>3</v>
      </c>
      <c r="J70" s="391">
        <f t="shared" si="18"/>
        <v>0</v>
      </c>
      <c r="K70" s="72">
        <f t="shared" si="19"/>
        <v>0</v>
      </c>
      <c r="L70" s="71"/>
      <c r="M70" s="71"/>
    </row>
    <row r="71" spans="1:13" ht="16.5" customHeight="1" x14ac:dyDescent="0.25">
      <c r="A71" s="313"/>
      <c r="B71" s="73" t="s">
        <v>68</v>
      </c>
      <c r="C71" s="72">
        <v>930.56</v>
      </c>
      <c r="D71" s="70">
        <f t="shared" si="13"/>
        <v>930.56</v>
      </c>
      <c r="E71" s="72">
        <f t="shared" si="14"/>
        <v>0</v>
      </c>
      <c r="F71" s="70">
        <f t="shared" si="15"/>
        <v>74.444800000000001</v>
      </c>
      <c r="G71" s="309">
        <v>44547</v>
      </c>
      <c r="H71" s="74" t="e">
        <f t="shared" si="17"/>
        <v>#REF!</v>
      </c>
      <c r="I71" s="324" t="e">
        <f t="shared" si="16"/>
        <v>#REF!</v>
      </c>
      <c r="J71" s="391">
        <f t="shared" si="18"/>
        <v>0</v>
      </c>
      <c r="K71" s="72">
        <f t="shared" si="19"/>
        <v>0</v>
      </c>
      <c r="L71" s="71"/>
      <c r="M71" s="71"/>
    </row>
    <row r="72" spans="1:13" ht="16.5" customHeight="1" x14ac:dyDescent="0.25">
      <c r="A72" s="313"/>
      <c r="B72" s="73" t="s">
        <v>109</v>
      </c>
      <c r="C72" s="72">
        <v>1533.01</v>
      </c>
      <c r="D72" s="70">
        <f t="shared" si="13"/>
        <v>1533.01</v>
      </c>
      <c r="E72" s="72">
        <f t="shared" si="14"/>
        <v>0</v>
      </c>
      <c r="F72" s="70">
        <f t="shared" si="15"/>
        <v>122.6408</v>
      </c>
      <c r="G72" s="309">
        <v>44547</v>
      </c>
      <c r="H72" s="74">
        <f t="shared" si="17"/>
        <v>44536</v>
      </c>
      <c r="I72" s="324">
        <f t="shared" si="16"/>
        <v>11</v>
      </c>
      <c r="J72" s="391">
        <f t="shared" si="18"/>
        <v>0</v>
      </c>
      <c r="K72" s="72">
        <f t="shared" si="19"/>
        <v>0</v>
      </c>
      <c r="L72" s="71"/>
      <c r="M72" s="71"/>
    </row>
    <row r="73" spans="1:13" ht="16.5" customHeight="1" x14ac:dyDescent="0.25">
      <c r="A73" s="313"/>
      <c r="B73" s="73" t="s">
        <v>69</v>
      </c>
      <c r="C73" s="72">
        <v>825.13</v>
      </c>
      <c r="D73" s="70">
        <f t="shared" si="13"/>
        <v>825.13</v>
      </c>
      <c r="E73" s="72">
        <f t="shared" si="14"/>
        <v>0</v>
      </c>
      <c r="F73" s="70">
        <f t="shared" si="15"/>
        <v>66.010400000000004</v>
      </c>
      <c r="G73" s="309">
        <v>44547</v>
      </c>
      <c r="H73" s="74" t="e">
        <f t="shared" si="17"/>
        <v>#REF!</v>
      </c>
      <c r="I73" s="324" t="e">
        <f t="shared" si="16"/>
        <v>#REF!</v>
      </c>
      <c r="J73" s="391">
        <f t="shared" si="18"/>
        <v>0</v>
      </c>
      <c r="K73" s="72">
        <f t="shared" si="19"/>
        <v>0</v>
      </c>
      <c r="L73" s="71"/>
      <c r="M73" s="71"/>
    </row>
    <row r="74" spans="1:13" ht="16.5" customHeight="1" x14ac:dyDescent="0.25">
      <c r="A74" s="313"/>
      <c r="B74" s="73" t="s">
        <v>72</v>
      </c>
      <c r="C74" s="72">
        <v>59.52</v>
      </c>
      <c r="D74" s="70">
        <v>0</v>
      </c>
      <c r="E74" s="72">
        <f t="shared" si="14"/>
        <v>59.52</v>
      </c>
      <c r="F74" s="70">
        <f t="shared" si="15"/>
        <v>4.7616000000000005</v>
      </c>
      <c r="G74" s="308"/>
      <c r="H74" s="74">
        <f t="shared" si="17"/>
        <v>44536</v>
      </c>
      <c r="I74" s="324">
        <v>0</v>
      </c>
      <c r="J74" s="391">
        <f t="shared" si="18"/>
        <v>0</v>
      </c>
      <c r="K74" s="72">
        <f t="shared" si="19"/>
        <v>0</v>
      </c>
      <c r="L74" s="71"/>
      <c r="M74" s="71"/>
    </row>
    <row r="75" spans="1:13" ht="16.5" customHeight="1" x14ac:dyDescent="0.25">
      <c r="A75" s="313"/>
      <c r="B75" s="73" t="s">
        <v>73</v>
      </c>
      <c r="C75" s="72">
        <v>816.26</v>
      </c>
      <c r="D75" s="70">
        <f t="shared" si="13"/>
        <v>816.26</v>
      </c>
      <c r="E75" s="72">
        <f t="shared" si="14"/>
        <v>0</v>
      </c>
      <c r="F75" s="70">
        <f t="shared" si="15"/>
        <v>65.300799999999995</v>
      </c>
      <c r="G75" s="309">
        <v>44547</v>
      </c>
      <c r="H75" s="74" t="e">
        <f t="shared" si="17"/>
        <v>#REF!</v>
      </c>
      <c r="I75" s="324" t="e">
        <f t="shared" si="16"/>
        <v>#REF!</v>
      </c>
      <c r="J75" s="391">
        <f t="shared" si="18"/>
        <v>0</v>
      </c>
      <c r="K75" s="72">
        <f t="shared" si="19"/>
        <v>0</v>
      </c>
      <c r="L75" s="71"/>
      <c r="M75" s="71"/>
    </row>
    <row r="76" spans="1:13" ht="16.5" customHeight="1" x14ac:dyDescent="0.25">
      <c r="A76" s="313"/>
      <c r="B76" s="73" t="s">
        <v>74</v>
      </c>
      <c r="C76" s="72">
        <v>3556.52</v>
      </c>
      <c r="D76" s="70">
        <f t="shared" si="13"/>
        <v>3556.52</v>
      </c>
      <c r="E76" s="72">
        <f t="shared" si="14"/>
        <v>0</v>
      </c>
      <c r="F76" s="70">
        <f t="shared" si="15"/>
        <v>284.52159999999998</v>
      </c>
      <c r="G76" s="308">
        <v>44547</v>
      </c>
      <c r="H76" s="74">
        <f t="shared" si="17"/>
        <v>44536</v>
      </c>
      <c r="I76" s="324">
        <f t="shared" si="16"/>
        <v>11</v>
      </c>
      <c r="J76" s="391">
        <f t="shared" si="18"/>
        <v>0</v>
      </c>
      <c r="K76" s="72">
        <f t="shared" si="19"/>
        <v>0</v>
      </c>
      <c r="L76" s="71"/>
      <c r="M76" s="71"/>
    </row>
    <row r="77" spans="1:13" ht="16.5" customHeight="1" x14ac:dyDescent="0.25">
      <c r="A77" s="313"/>
      <c r="B77" s="73" t="s">
        <v>10</v>
      </c>
      <c r="C77" s="72">
        <v>118.18</v>
      </c>
      <c r="D77" s="70">
        <f t="shared" si="13"/>
        <v>118.18</v>
      </c>
      <c r="E77" s="72">
        <f t="shared" si="14"/>
        <v>0</v>
      </c>
      <c r="F77" s="70">
        <f t="shared" si="15"/>
        <v>9.4544000000000015</v>
      </c>
      <c r="G77" s="309">
        <v>44547</v>
      </c>
      <c r="H77" s="74" t="e">
        <f t="shared" si="17"/>
        <v>#REF!</v>
      </c>
      <c r="I77" s="324" t="e">
        <f t="shared" si="16"/>
        <v>#REF!</v>
      </c>
      <c r="J77" s="391">
        <f t="shared" si="18"/>
        <v>0</v>
      </c>
      <c r="K77" s="72">
        <f t="shared" si="19"/>
        <v>0</v>
      </c>
      <c r="L77" s="71"/>
      <c r="M77" s="71"/>
    </row>
    <row r="78" spans="1:13" ht="16.5" customHeight="1" x14ac:dyDescent="0.25">
      <c r="A78" s="313"/>
      <c r="B78" s="73" t="s">
        <v>77</v>
      </c>
      <c r="C78" s="72">
        <v>1940.79</v>
      </c>
      <c r="D78" s="70">
        <f t="shared" si="13"/>
        <v>1940.79</v>
      </c>
      <c r="E78" s="72">
        <f t="shared" si="14"/>
        <v>0</v>
      </c>
      <c r="F78" s="70">
        <f t="shared" si="15"/>
        <v>155.26320000000001</v>
      </c>
      <c r="G78" s="308">
        <v>44547</v>
      </c>
      <c r="H78" s="74">
        <f t="shared" si="17"/>
        <v>44536</v>
      </c>
      <c r="I78" s="324">
        <f t="shared" si="16"/>
        <v>11</v>
      </c>
      <c r="J78" s="391">
        <f t="shared" si="18"/>
        <v>0</v>
      </c>
      <c r="K78" s="72">
        <f t="shared" si="19"/>
        <v>0</v>
      </c>
      <c r="L78" s="71"/>
      <c r="M78" s="71"/>
    </row>
    <row r="79" spans="1:13" ht="16.5" customHeight="1" x14ac:dyDescent="0.25">
      <c r="A79" s="313"/>
      <c r="B79" s="73" t="s">
        <v>78</v>
      </c>
      <c r="C79" s="72">
        <v>2290.65</v>
      </c>
      <c r="D79" s="70">
        <f t="shared" si="13"/>
        <v>2290.65</v>
      </c>
      <c r="E79" s="72">
        <f t="shared" si="14"/>
        <v>0</v>
      </c>
      <c r="F79" s="70">
        <f t="shared" si="15"/>
        <v>183.25200000000001</v>
      </c>
      <c r="G79" s="308">
        <v>44538</v>
      </c>
      <c r="H79" s="74" t="e">
        <f t="shared" si="17"/>
        <v>#REF!</v>
      </c>
      <c r="I79" s="324" t="e">
        <f t="shared" si="16"/>
        <v>#REF!</v>
      </c>
      <c r="J79" s="391">
        <f t="shared" si="18"/>
        <v>0</v>
      </c>
      <c r="K79" s="72">
        <f t="shared" si="19"/>
        <v>0</v>
      </c>
      <c r="L79" s="71"/>
      <c r="M79" s="71"/>
    </row>
    <row r="80" spans="1:13" ht="16.5" customHeight="1" x14ac:dyDescent="0.25">
      <c r="A80" s="313"/>
      <c r="B80" s="73" t="s">
        <v>79</v>
      </c>
      <c r="C80" s="72">
        <v>1620.77</v>
      </c>
      <c r="D80" s="70">
        <f t="shared" si="13"/>
        <v>1620.77</v>
      </c>
      <c r="E80" s="72">
        <f t="shared" si="14"/>
        <v>0</v>
      </c>
      <c r="F80" s="70">
        <f t="shared" si="15"/>
        <v>129.66159999999999</v>
      </c>
      <c r="G80" s="309">
        <v>44539</v>
      </c>
      <c r="H80" s="74">
        <f t="shared" si="17"/>
        <v>44536</v>
      </c>
      <c r="I80" s="324">
        <f t="shared" si="16"/>
        <v>3</v>
      </c>
      <c r="J80" s="391">
        <f t="shared" si="18"/>
        <v>0</v>
      </c>
      <c r="K80" s="72">
        <f t="shared" si="19"/>
        <v>0</v>
      </c>
      <c r="L80" s="71"/>
      <c r="M80" s="71"/>
    </row>
    <row r="81" spans="1:13" ht="16.5" customHeight="1" x14ac:dyDescent="0.25">
      <c r="A81" s="313"/>
      <c r="B81" s="73" t="s">
        <v>80</v>
      </c>
      <c r="C81" s="72">
        <v>2220.44</v>
      </c>
      <c r="D81" s="70">
        <f t="shared" si="13"/>
        <v>2220.44</v>
      </c>
      <c r="E81" s="72">
        <f t="shared" si="14"/>
        <v>0</v>
      </c>
      <c r="F81" s="70">
        <f t="shared" si="15"/>
        <v>177.6352</v>
      </c>
      <c r="G81" s="308">
        <v>44547</v>
      </c>
      <c r="H81" s="74" t="e">
        <f t="shared" si="17"/>
        <v>#REF!</v>
      </c>
      <c r="I81" s="324" t="e">
        <f t="shared" si="16"/>
        <v>#REF!</v>
      </c>
      <c r="J81" s="391">
        <f t="shared" si="18"/>
        <v>0</v>
      </c>
      <c r="K81" s="72">
        <f t="shared" si="19"/>
        <v>0</v>
      </c>
      <c r="L81" s="71"/>
      <c r="M81" s="71"/>
    </row>
    <row r="82" spans="1:13" ht="16.5" customHeight="1" x14ac:dyDescent="0.25">
      <c r="A82" s="313"/>
      <c r="B82" s="73" t="s">
        <v>81</v>
      </c>
      <c r="C82" s="72">
        <v>2761.42</v>
      </c>
      <c r="D82" s="70">
        <f t="shared" si="13"/>
        <v>2761.42</v>
      </c>
      <c r="E82" s="72">
        <f t="shared" si="14"/>
        <v>0</v>
      </c>
      <c r="F82" s="70">
        <f t="shared" si="15"/>
        <v>220.9136</v>
      </c>
      <c r="G82" s="308">
        <v>44546</v>
      </c>
      <c r="H82" s="74">
        <f t="shared" si="17"/>
        <v>44536</v>
      </c>
      <c r="I82" s="324">
        <f t="shared" si="16"/>
        <v>10</v>
      </c>
      <c r="J82" s="391">
        <f t="shared" si="18"/>
        <v>0</v>
      </c>
      <c r="K82" s="72">
        <f t="shared" si="19"/>
        <v>0</v>
      </c>
      <c r="L82" s="71"/>
      <c r="M82" s="71"/>
    </row>
    <row r="83" spans="1:13" ht="16.5" customHeight="1" x14ac:dyDescent="0.25">
      <c r="A83" s="313"/>
      <c r="B83" s="73" t="s">
        <v>82</v>
      </c>
      <c r="C83" s="72">
        <v>1700.68</v>
      </c>
      <c r="D83" s="70">
        <f t="shared" si="13"/>
        <v>1700.68</v>
      </c>
      <c r="E83" s="72">
        <v>0</v>
      </c>
      <c r="F83" s="70">
        <f t="shared" si="15"/>
        <v>136.05440000000002</v>
      </c>
      <c r="G83" s="308">
        <v>44547</v>
      </c>
      <c r="H83" s="74" t="e">
        <f t="shared" si="17"/>
        <v>#REF!</v>
      </c>
      <c r="I83" s="324" t="e">
        <f t="shared" si="16"/>
        <v>#REF!</v>
      </c>
      <c r="J83" s="391">
        <f t="shared" si="18"/>
        <v>0</v>
      </c>
      <c r="K83" s="72">
        <f t="shared" si="19"/>
        <v>0</v>
      </c>
      <c r="L83" s="71"/>
      <c r="M83" s="71"/>
    </row>
    <row r="84" spans="1:13" ht="16.5" customHeight="1" x14ac:dyDescent="0.25">
      <c r="A84" s="313"/>
      <c r="B84" s="73" t="s">
        <v>112</v>
      </c>
      <c r="C84" s="72">
        <v>10.66</v>
      </c>
      <c r="D84" s="70">
        <f t="shared" si="13"/>
        <v>10.66</v>
      </c>
      <c r="E84" s="72">
        <v>0</v>
      </c>
      <c r="F84" s="70">
        <f t="shared" si="15"/>
        <v>0.8528</v>
      </c>
      <c r="G84" s="309">
        <v>44547</v>
      </c>
      <c r="H84" s="74">
        <f t="shared" si="17"/>
        <v>44536</v>
      </c>
      <c r="I84" s="324">
        <f t="shared" si="16"/>
        <v>11</v>
      </c>
      <c r="J84" s="391">
        <f t="shared" si="18"/>
        <v>0</v>
      </c>
      <c r="K84" s="72">
        <f t="shared" si="19"/>
        <v>0</v>
      </c>
      <c r="L84" s="71"/>
      <c r="M84" s="71"/>
    </row>
    <row r="85" spans="1:13" ht="16.5" customHeight="1" x14ac:dyDescent="0.25">
      <c r="A85" s="313"/>
      <c r="B85" s="73" t="s">
        <v>85</v>
      </c>
      <c r="C85" s="72">
        <v>12.31</v>
      </c>
      <c r="D85" s="70">
        <f t="shared" si="13"/>
        <v>12.31</v>
      </c>
      <c r="E85" s="72">
        <f t="shared" si="14"/>
        <v>0</v>
      </c>
      <c r="F85" s="70">
        <f t="shared" si="15"/>
        <v>0.98480000000000001</v>
      </c>
      <c r="G85" s="309">
        <v>44547</v>
      </c>
      <c r="H85" s="74" t="e">
        <f t="shared" si="17"/>
        <v>#REF!</v>
      </c>
      <c r="I85" s="324" t="e">
        <f t="shared" si="16"/>
        <v>#REF!</v>
      </c>
      <c r="J85" s="391">
        <f t="shared" si="18"/>
        <v>0</v>
      </c>
      <c r="K85" s="72">
        <f t="shared" si="19"/>
        <v>0</v>
      </c>
      <c r="L85" s="71"/>
      <c r="M85" s="71"/>
    </row>
    <row r="86" spans="1:13" ht="16.5" customHeight="1" x14ac:dyDescent="0.25">
      <c r="A86" s="313"/>
      <c r="B86" s="73" t="s">
        <v>87</v>
      </c>
      <c r="C86" s="72">
        <v>2.54</v>
      </c>
      <c r="D86" s="70">
        <f t="shared" si="13"/>
        <v>2.54</v>
      </c>
      <c r="E86" s="72">
        <f t="shared" si="14"/>
        <v>0</v>
      </c>
      <c r="F86" s="70">
        <f t="shared" si="15"/>
        <v>0.20320000000000002</v>
      </c>
      <c r="G86" s="309">
        <v>44547</v>
      </c>
      <c r="H86" s="74" t="e">
        <f>H85</f>
        <v>#REF!</v>
      </c>
      <c r="I86" s="324" t="e">
        <f t="shared" si="16"/>
        <v>#REF!</v>
      </c>
      <c r="J86" s="391">
        <f>J85</f>
        <v>0</v>
      </c>
      <c r="K86" s="72">
        <f t="shared" si="19"/>
        <v>0</v>
      </c>
      <c r="L86" s="71"/>
      <c r="M86" s="71"/>
    </row>
    <row r="87" spans="1:13" ht="16.5" customHeight="1" x14ac:dyDescent="0.25">
      <c r="A87" s="313"/>
      <c r="B87" s="73" t="s">
        <v>88</v>
      </c>
      <c r="C87" s="72">
        <v>102.54</v>
      </c>
      <c r="D87" s="70">
        <f t="shared" si="13"/>
        <v>102.54</v>
      </c>
      <c r="E87" s="72">
        <f t="shared" si="14"/>
        <v>0</v>
      </c>
      <c r="F87" s="70">
        <f t="shared" si="15"/>
        <v>8.2032000000000007</v>
      </c>
      <c r="G87" s="309">
        <v>44547</v>
      </c>
      <c r="H87" s="74" t="e">
        <f>#REF!</f>
        <v>#REF!</v>
      </c>
      <c r="I87" s="324" t="e">
        <f t="shared" si="16"/>
        <v>#REF!</v>
      </c>
      <c r="J87" s="391">
        <f t="shared" si="18"/>
        <v>0</v>
      </c>
      <c r="K87" s="72">
        <f t="shared" si="19"/>
        <v>0</v>
      </c>
      <c r="L87" s="71"/>
      <c r="M87" s="71"/>
    </row>
    <row r="88" spans="1:13" ht="16.5" customHeight="1" x14ac:dyDescent="0.25">
      <c r="A88" s="313"/>
      <c r="B88" s="73" t="s">
        <v>89</v>
      </c>
      <c r="C88" s="72">
        <v>58.13</v>
      </c>
      <c r="D88" s="70">
        <f t="shared" si="13"/>
        <v>58.13</v>
      </c>
      <c r="E88" s="72">
        <f t="shared" si="14"/>
        <v>0</v>
      </c>
      <c r="F88" s="70">
        <f t="shared" si="15"/>
        <v>4.6504000000000003</v>
      </c>
      <c r="G88" s="309">
        <v>44547</v>
      </c>
      <c r="H88" s="74" t="e">
        <f t="shared" si="17"/>
        <v>#REF!</v>
      </c>
      <c r="I88" s="324" t="e">
        <f t="shared" si="16"/>
        <v>#REF!</v>
      </c>
      <c r="J88" s="391">
        <f t="shared" si="18"/>
        <v>0</v>
      </c>
      <c r="K88" s="72">
        <f t="shared" si="19"/>
        <v>0</v>
      </c>
      <c r="L88" s="71"/>
      <c r="M88" s="71"/>
    </row>
    <row r="89" spans="1:13" ht="16.5" customHeight="1" x14ac:dyDescent="0.25">
      <c r="A89" s="313"/>
      <c r="B89" s="73" t="s">
        <v>113</v>
      </c>
      <c r="C89" s="72">
        <v>385.38</v>
      </c>
      <c r="D89" s="70">
        <f t="shared" si="13"/>
        <v>385.38</v>
      </c>
      <c r="E89" s="72">
        <f t="shared" ref="E89:E98" si="20">C89-D89</f>
        <v>0</v>
      </c>
      <c r="F89" s="70">
        <f t="shared" ref="F89:F98" si="21">C89*8%</f>
        <v>30.830400000000001</v>
      </c>
      <c r="G89" s="309">
        <v>44539</v>
      </c>
      <c r="H89" s="74" t="e">
        <f t="shared" si="17"/>
        <v>#REF!</v>
      </c>
      <c r="I89" s="324" t="e">
        <f t="shared" si="16"/>
        <v>#REF!</v>
      </c>
      <c r="J89" s="391">
        <f t="shared" si="18"/>
        <v>0</v>
      </c>
      <c r="K89" s="72">
        <f t="shared" si="19"/>
        <v>0</v>
      </c>
      <c r="L89" s="71"/>
      <c r="M89" s="71"/>
    </row>
    <row r="90" spans="1:13" ht="16.5" customHeight="1" x14ac:dyDescent="0.25">
      <c r="A90" s="313"/>
      <c r="B90" s="73" t="s">
        <v>222</v>
      </c>
      <c r="C90" s="72">
        <v>770.76</v>
      </c>
      <c r="D90" s="70">
        <f t="shared" si="13"/>
        <v>770.76</v>
      </c>
      <c r="E90" s="72">
        <f t="shared" si="20"/>
        <v>0</v>
      </c>
      <c r="F90" s="70">
        <f t="shared" si="21"/>
        <v>61.660800000000002</v>
      </c>
      <c r="G90" s="309">
        <v>44539</v>
      </c>
      <c r="H90" s="74" t="e">
        <f t="shared" si="17"/>
        <v>#REF!</v>
      </c>
      <c r="I90" s="324" t="e">
        <f t="shared" si="16"/>
        <v>#REF!</v>
      </c>
      <c r="J90" s="391">
        <f t="shared" si="18"/>
        <v>0</v>
      </c>
      <c r="K90" s="72">
        <f t="shared" si="19"/>
        <v>0</v>
      </c>
      <c r="L90" s="71"/>
      <c r="M90" s="71"/>
    </row>
    <row r="91" spans="1:13" ht="16.5" customHeight="1" x14ac:dyDescent="0.25">
      <c r="A91" s="313"/>
      <c r="B91" s="73" t="s">
        <v>90</v>
      </c>
      <c r="C91" s="72">
        <v>13.19</v>
      </c>
      <c r="D91" s="70">
        <f t="shared" si="13"/>
        <v>13.19</v>
      </c>
      <c r="E91" s="72">
        <f t="shared" si="20"/>
        <v>0</v>
      </c>
      <c r="F91" s="70">
        <f t="shared" si="21"/>
        <v>1.0551999999999999</v>
      </c>
      <c r="G91" s="309">
        <v>44547</v>
      </c>
      <c r="H91" s="74" t="e">
        <f t="shared" si="17"/>
        <v>#REF!</v>
      </c>
      <c r="I91" s="324" t="e">
        <f t="shared" si="16"/>
        <v>#REF!</v>
      </c>
      <c r="J91" s="391">
        <f t="shared" si="18"/>
        <v>0</v>
      </c>
      <c r="K91" s="72">
        <f t="shared" si="19"/>
        <v>0</v>
      </c>
      <c r="L91" s="71"/>
      <c r="M91" s="71"/>
    </row>
    <row r="92" spans="1:13" ht="16.5" customHeight="1" x14ac:dyDescent="0.25">
      <c r="A92" s="313"/>
      <c r="B92" s="73" t="s">
        <v>93</v>
      </c>
      <c r="C92" s="72">
        <v>51.27</v>
      </c>
      <c r="D92" s="70">
        <f t="shared" si="13"/>
        <v>51.27</v>
      </c>
      <c r="E92" s="72">
        <f t="shared" si="20"/>
        <v>0</v>
      </c>
      <c r="F92" s="70">
        <f t="shared" si="21"/>
        <v>4.1016000000000004</v>
      </c>
      <c r="G92" s="309">
        <v>44547</v>
      </c>
      <c r="H92" s="74" t="e">
        <f>H91</f>
        <v>#REF!</v>
      </c>
      <c r="I92" s="324" t="e">
        <f t="shared" si="16"/>
        <v>#REF!</v>
      </c>
      <c r="J92" s="391">
        <f>J91</f>
        <v>0</v>
      </c>
      <c r="K92" s="72">
        <f t="shared" si="19"/>
        <v>0</v>
      </c>
      <c r="L92" s="71"/>
      <c r="M92" s="71"/>
    </row>
    <row r="93" spans="1:13" ht="16.5" customHeight="1" x14ac:dyDescent="0.25">
      <c r="A93" s="313"/>
      <c r="B93" s="73" t="s">
        <v>94</v>
      </c>
      <c r="C93" s="72">
        <v>2031</v>
      </c>
      <c r="D93" s="70">
        <f t="shared" si="13"/>
        <v>2031</v>
      </c>
      <c r="E93" s="72">
        <f t="shared" si="20"/>
        <v>0</v>
      </c>
      <c r="F93" s="70">
        <f t="shared" si="21"/>
        <v>162.47999999999999</v>
      </c>
      <c r="G93" s="308">
        <v>44547</v>
      </c>
      <c r="H93" s="74" t="e">
        <f>#REF!</f>
        <v>#REF!</v>
      </c>
      <c r="I93" s="324" t="e">
        <f t="shared" si="16"/>
        <v>#REF!</v>
      </c>
      <c r="J93" s="391">
        <f t="shared" si="18"/>
        <v>0</v>
      </c>
      <c r="K93" s="72">
        <f t="shared" si="19"/>
        <v>0</v>
      </c>
      <c r="L93" s="71"/>
      <c r="M93" s="71"/>
    </row>
    <row r="94" spans="1:13" ht="16.5" customHeight="1" x14ac:dyDescent="0.25">
      <c r="A94" s="313"/>
      <c r="B94" s="73" t="s">
        <v>95</v>
      </c>
      <c r="C94" s="72">
        <v>1079.67</v>
      </c>
      <c r="D94" s="70">
        <f t="shared" si="13"/>
        <v>1079.67</v>
      </c>
      <c r="E94" s="72">
        <f t="shared" si="20"/>
        <v>0</v>
      </c>
      <c r="F94" s="70">
        <f t="shared" si="21"/>
        <v>86.37360000000001</v>
      </c>
      <c r="G94" s="308">
        <v>44547</v>
      </c>
      <c r="H94" s="74" t="e">
        <f t="shared" si="17"/>
        <v>#REF!</v>
      </c>
      <c r="I94" s="324" t="e">
        <f t="shared" si="16"/>
        <v>#REF!</v>
      </c>
      <c r="J94" s="391">
        <f t="shared" si="18"/>
        <v>0</v>
      </c>
      <c r="K94" s="72">
        <f t="shared" si="19"/>
        <v>0</v>
      </c>
      <c r="L94" s="71"/>
      <c r="M94" s="71"/>
    </row>
    <row r="95" spans="1:13" ht="16.5" customHeight="1" x14ac:dyDescent="0.25">
      <c r="A95" s="313"/>
      <c r="B95" s="73" t="s">
        <v>223</v>
      </c>
      <c r="C95" s="72">
        <v>770.84</v>
      </c>
      <c r="D95" s="70">
        <f t="shared" si="13"/>
        <v>770.84</v>
      </c>
      <c r="E95" s="72">
        <f t="shared" si="20"/>
        <v>0</v>
      </c>
      <c r="F95" s="70">
        <f t="shared" si="21"/>
        <v>61.667200000000001</v>
      </c>
      <c r="G95" s="309">
        <v>44547</v>
      </c>
      <c r="H95" s="74" t="e">
        <f t="shared" si="17"/>
        <v>#REF!</v>
      </c>
      <c r="I95" s="324" t="e">
        <f t="shared" si="16"/>
        <v>#REF!</v>
      </c>
      <c r="J95" s="391">
        <f t="shared" si="18"/>
        <v>0</v>
      </c>
      <c r="K95" s="72">
        <f t="shared" si="19"/>
        <v>0</v>
      </c>
      <c r="L95" s="71"/>
      <c r="M95" s="71"/>
    </row>
    <row r="96" spans="1:13" ht="16.5" customHeight="1" x14ac:dyDescent="0.25">
      <c r="A96" s="313"/>
      <c r="B96" s="73" t="s">
        <v>15</v>
      </c>
      <c r="C96" s="72">
        <v>11.36</v>
      </c>
      <c r="D96" s="70">
        <f t="shared" ref="D96:D101" si="22">C96</f>
        <v>11.36</v>
      </c>
      <c r="E96" s="72">
        <f t="shared" si="20"/>
        <v>0</v>
      </c>
      <c r="F96" s="70">
        <f t="shared" si="21"/>
        <v>0.90879999999999994</v>
      </c>
      <c r="G96" s="309">
        <v>44547</v>
      </c>
      <c r="H96" s="74" t="e">
        <f t="shared" si="17"/>
        <v>#REF!</v>
      </c>
      <c r="I96" s="324" t="e">
        <f t="shared" ref="I96:I101" si="23">G96-H96</f>
        <v>#REF!</v>
      </c>
      <c r="J96" s="391">
        <f t="shared" si="18"/>
        <v>0</v>
      </c>
      <c r="K96" s="72">
        <f t="shared" si="19"/>
        <v>0</v>
      </c>
      <c r="L96" s="71"/>
      <c r="M96" s="71"/>
    </row>
    <row r="97" spans="1:13" ht="16.5" customHeight="1" x14ac:dyDescent="0.25">
      <c r="A97" s="313"/>
      <c r="B97" s="73" t="s">
        <v>136</v>
      </c>
      <c r="C97" s="72">
        <v>770.84</v>
      </c>
      <c r="D97" s="70">
        <f t="shared" si="22"/>
        <v>770.84</v>
      </c>
      <c r="E97" s="72">
        <f t="shared" si="20"/>
        <v>0</v>
      </c>
      <c r="F97" s="70">
        <f t="shared" si="21"/>
        <v>61.667200000000001</v>
      </c>
      <c r="G97" s="309">
        <v>44539</v>
      </c>
      <c r="H97" s="74" t="e">
        <f>H96</f>
        <v>#REF!</v>
      </c>
      <c r="I97" s="324" t="e">
        <f t="shared" si="23"/>
        <v>#REF!</v>
      </c>
      <c r="J97" s="391">
        <f>J96</f>
        <v>0</v>
      </c>
      <c r="K97" s="72">
        <f t="shared" si="19"/>
        <v>0</v>
      </c>
      <c r="L97" s="71"/>
      <c r="M97" s="71"/>
    </row>
    <row r="98" spans="1:13" ht="16.5" customHeight="1" x14ac:dyDescent="0.25">
      <c r="A98" s="313"/>
      <c r="B98" s="73" t="s">
        <v>98</v>
      </c>
      <c r="C98" s="72">
        <v>2564.02</v>
      </c>
      <c r="D98" s="70">
        <f t="shared" si="22"/>
        <v>2564.02</v>
      </c>
      <c r="E98" s="72">
        <f t="shared" si="20"/>
        <v>0</v>
      </c>
      <c r="F98" s="70">
        <f t="shared" si="21"/>
        <v>205.1216</v>
      </c>
      <c r="G98" s="308">
        <v>44547</v>
      </c>
      <c r="H98" s="74" t="e">
        <f>#REF!</f>
        <v>#REF!</v>
      </c>
      <c r="I98" s="324" t="e">
        <f t="shared" si="23"/>
        <v>#REF!</v>
      </c>
      <c r="J98" s="391">
        <f t="shared" ref="J98:J101" si="24">J97</f>
        <v>0</v>
      </c>
      <c r="K98" s="72">
        <f t="shared" ref="K98:K101" si="25">SUM(E98)*J98</f>
        <v>0</v>
      </c>
      <c r="L98" s="71"/>
      <c r="M98" s="71"/>
    </row>
    <row r="99" spans="1:13" ht="16.5" customHeight="1" x14ac:dyDescent="0.25">
      <c r="A99" s="313"/>
      <c r="B99" s="73" t="s">
        <v>99</v>
      </c>
      <c r="C99" s="72">
        <v>3052.3</v>
      </c>
      <c r="D99" s="70">
        <f t="shared" si="22"/>
        <v>3052.3</v>
      </c>
      <c r="E99" s="72">
        <f t="shared" si="14"/>
        <v>0</v>
      </c>
      <c r="F99" s="70">
        <f t="shared" si="15"/>
        <v>244.18400000000003</v>
      </c>
      <c r="G99" s="308">
        <v>44547</v>
      </c>
      <c r="H99" s="74" t="e">
        <f>H88</f>
        <v>#REF!</v>
      </c>
      <c r="I99" s="324" t="e">
        <f t="shared" si="23"/>
        <v>#REF!</v>
      </c>
      <c r="J99" s="391">
        <f t="shared" si="24"/>
        <v>0</v>
      </c>
      <c r="K99" s="72">
        <f t="shared" si="25"/>
        <v>0</v>
      </c>
      <c r="L99" s="71"/>
      <c r="M99" s="71"/>
    </row>
    <row r="100" spans="1:13" ht="16.5" customHeight="1" x14ac:dyDescent="0.25">
      <c r="A100" s="313"/>
      <c r="B100" s="73" t="s">
        <v>100</v>
      </c>
      <c r="C100" s="72">
        <v>1603.22</v>
      </c>
      <c r="D100" s="70">
        <f t="shared" si="22"/>
        <v>1603.22</v>
      </c>
      <c r="E100" s="72">
        <f t="shared" si="14"/>
        <v>0</v>
      </c>
      <c r="F100" s="70">
        <f t="shared" si="15"/>
        <v>128.2576</v>
      </c>
      <c r="G100" s="308">
        <v>44547</v>
      </c>
      <c r="H100" s="74" t="e">
        <f t="shared" si="17"/>
        <v>#REF!</v>
      </c>
      <c r="I100" s="324" t="e">
        <f t="shared" si="23"/>
        <v>#REF!</v>
      </c>
      <c r="J100" s="391">
        <f t="shared" si="24"/>
        <v>0</v>
      </c>
      <c r="K100" s="72">
        <f t="shared" si="25"/>
        <v>0</v>
      </c>
      <c r="L100" s="71"/>
      <c r="M100" s="71"/>
    </row>
    <row r="101" spans="1:13" ht="16.5" customHeight="1" x14ac:dyDescent="0.25">
      <c r="A101" s="313"/>
      <c r="B101" s="73" t="s">
        <v>101</v>
      </c>
      <c r="C101" s="72">
        <v>5.05</v>
      </c>
      <c r="D101" s="70">
        <f t="shared" si="22"/>
        <v>5.05</v>
      </c>
      <c r="E101" s="72">
        <f t="shared" si="14"/>
        <v>0</v>
      </c>
      <c r="F101" s="70">
        <f t="shared" si="15"/>
        <v>0.40399999999999997</v>
      </c>
      <c r="G101" s="309">
        <v>44547</v>
      </c>
      <c r="H101" s="74" t="e">
        <f t="shared" si="17"/>
        <v>#REF!</v>
      </c>
      <c r="I101" s="324" t="e">
        <f t="shared" si="23"/>
        <v>#REF!</v>
      </c>
      <c r="J101" s="391">
        <f t="shared" si="24"/>
        <v>0</v>
      </c>
      <c r="K101" s="72">
        <f t="shared" si="25"/>
        <v>0</v>
      </c>
      <c r="L101" s="71"/>
      <c r="M101" s="71"/>
    </row>
    <row r="102" spans="1:13" s="65" customFormat="1" ht="17.25" customHeight="1" x14ac:dyDescent="0.25">
      <c r="A102" s="190"/>
      <c r="B102" s="181" t="s">
        <v>162</v>
      </c>
      <c r="C102" s="181">
        <f>SUM(C34:C101)</f>
        <v>55688.669999999991</v>
      </c>
      <c r="D102" s="181">
        <f>SUM(D34:D101)</f>
        <v>55629.149999999987</v>
      </c>
      <c r="E102" s="317">
        <f>SUM(E34:E101)</f>
        <v>59.52</v>
      </c>
      <c r="F102" s="181">
        <f>SUM(F34:F101)</f>
        <v>4455.0935999999992</v>
      </c>
      <c r="G102" s="182"/>
      <c r="H102" s="182"/>
      <c r="I102" s="182"/>
      <c r="J102" s="181"/>
      <c r="K102" s="181">
        <f>SUM(K34:K101)</f>
        <v>0</v>
      </c>
      <c r="L102" s="186"/>
      <c r="M102" s="186"/>
    </row>
    <row r="103" spans="1:13" ht="15.75" x14ac:dyDescent="0.25">
      <c r="A103" s="186"/>
      <c r="B103" s="187" t="s">
        <v>103</v>
      </c>
      <c r="C103" s="188">
        <f>SUM(C102+C33+C17)</f>
        <v>139853.26999999996</v>
      </c>
      <c r="D103" s="188">
        <f>D102+D33+D17</f>
        <v>106992.95999999998</v>
      </c>
      <c r="E103" s="188">
        <f>E102+E33+E17</f>
        <v>32860.310000000005</v>
      </c>
      <c r="F103" s="188">
        <f>F102+F33+F17</f>
        <v>11188.261600000002</v>
      </c>
      <c r="G103" s="189"/>
      <c r="H103" s="189"/>
      <c r="I103" s="189"/>
      <c r="J103" s="390"/>
      <c r="K103" s="390">
        <f>SUM(K102+K33+K17)</f>
        <v>0</v>
      </c>
    </row>
    <row r="105" spans="1:13" x14ac:dyDescent="0.25">
      <c r="B105" s="166"/>
      <c r="C105" s="220"/>
      <c r="D105" s="166"/>
      <c r="E105" s="166"/>
      <c r="F105" s="166"/>
      <c r="G105" s="67"/>
      <c r="H105" s="67"/>
      <c r="I105" s="67"/>
      <c r="J105" s="67"/>
      <c r="K105" s="67"/>
    </row>
    <row r="106" spans="1:13" x14ac:dyDescent="0.25">
      <c r="B106" s="166"/>
      <c r="C106" s="97"/>
      <c r="D106" s="97"/>
      <c r="E106" s="166"/>
      <c r="F106" s="166"/>
    </row>
    <row r="107" spans="1:13" x14ac:dyDescent="0.25">
      <c r="B107" s="166"/>
      <c r="C107" s="97"/>
      <c r="D107" s="97"/>
      <c r="E107" s="166"/>
      <c r="F107" s="166"/>
    </row>
    <row r="108" spans="1:13" x14ac:dyDescent="0.25">
      <c r="B108" s="166"/>
      <c r="C108" s="97"/>
      <c r="D108" s="97"/>
      <c r="E108" s="166"/>
      <c r="F108" s="166"/>
    </row>
    <row r="109" spans="1:13" x14ac:dyDescent="0.25">
      <c r="C109" s="97"/>
      <c r="D109" s="97"/>
    </row>
    <row r="110" spans="1:13" x14ac:dyDescent="0.25">
      <c r="C110" s="97"/>
      <c r="D110" s="97"/>
    </row>
  </sheetData>
  <autoFilter ref="A4:M101" xr:uid="{00000000-0009-0000-0000-000000000000}"/>
  <pageMargins left="0.51181102362204722" right="0.51181102362204722" top="0.47244094488188981" bottom="0.47244094488188981" header="0.31496062992125984" footer="0.31496062992125984"/>
  <pageSetup paperSize="9" scale="76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D3731-F7E6-47D8-B3C1-762CA4EBA22C}">
  <sheetPr>
    <tabColor rgb="FF00B050"/>
    <pageSetUpPr fitToPage="1"/>
  </sheetPr>
  <dimension ref="A1:V107"/>
  <sheetViews>
    <sheetView showGridLines="0" topLeftCell="A40" workbookViewId="0">
      <selection activeCell="J40" sqref="J1:M1048576"/>
    </sheetView>
  </sheetViews>
  <sheetFormatPr defaultRowHeight="15" x14ac:dyDescent="0.25"/>
  <cols>
    <col min="1" max="1" width="9.85546875" style="60" customWidth="1"/>
    <col min="2" max="2" width="43.28515625" style="60" customWidth="1"/>
    <col min="3" max="3" width="14.140625" style="59" customWidth="1"/>
    <col min="4" max="4" width="14.42578125" style="69" customWidth="1"/>
    <col min="5" max="5" width="16.28515625" style="69" customWidth="1"/>
    <col min="6" max="6" width="13.5703125" style="69" customWidth="1"/>
    <col min="7" max="7" width="12.28515625" style="60" hidden="1" customWidth="1"/>
    <col min="8" max="8" width="12.85546875" style="60" hidden="1" customWidth="1"/>
    <col min="9" max="9" width="14.28515625" style="60" hidden="1" customWidth="1"/>
    <col min="10" max="10" width="12" style="60" hidden="1" customWidth="1"/>
    <col min="11" max="13" width="16.140625" style="60" hidden="1" customWidth="1"/>
    <col min="14" max="31" width="9.140625" style="60" customWidth="1"/>
    <col min="32" max="16384" width="9.140625" style="60"/>
  </cols>
  <sheetData>
    <row r="1" spans="1:13" ht="17.25" customHeight="1" x14ac:dyDescent="0.25">
      <c r="A1" s="221"/>
      <c r="B1" s="303" t="s">
        <v>141</v>
      </c>
      <c r="C1" s="304"/>
      <c r="D1" s="222"/>
      <c r="E1" s="83"/>
      <c r="F1" s="83"/>
      <c r="G1" s="223"/>
      <c r="H1" s="223"/>
      <c r="I1" s="223"/>
      <c r="J1" s="223"/>
      <c r="K1" s="223"/>
      <c r="L1" s="223"/>
      <c r="M1" s="223"/>
    </row>
    <row r="2" spans="1:13" ht="15.75" x14ac:dyDescent="0.25">
      <c r="A2" s="59"/>
      <c r="B2" s="305" t="s">
        <v>230</v>
      </c>
      <c r="C2" s="306"/>
      <c r="D2" s="58"/>
      <c r="E2" s="58"/>
      <c r="F2" s="58"/>
      <c r="G2" s="59"/>
      <c r="H2" s="59"/>
      <c r="I2" s="59"/>
      <c r="J2" s="59"/>
      <c r="K2" s="59"/>
      <c r="L2" s="59"/>
      <c r="M2" s="59"/>
    </row>
    <row r="3" spans="1:13" ht="15.75" x14ac:dyDescent="0.25">
      <c r="A3" s="224"/>
      <c r="B3" s="307" t="s">
        <v>231</v>
      </c>
      <c r="C3" s="255"/>
      <c r="D3" s="88"/>
      <c r="E3" s="88"/>
      <c r="F3" s="88"/>
      <c r="G3" s="224"/>
      <c r="H3" s="224"/>
      <c r="I3" s="224"/>
      <c r="J3" s="224"/>
      <c r="K3" s="224"/>
      <c r="L3" s="224"/>
      <c r="M3" s="59"/>
    </row>
    <row r="4" spans="1:13" s="217" customFormat="1" ht="43.5" customHeight="1" x14ac:dyDescent="0.25">
      <c r="A4" s="62" t="s">
        <v>143</v>
      </c>
      <c r="B4" s="63" t="s">
        <v>144</v>
      </c>
      <c r="C4" s="58" t="s">
        <v>140</v>
      </c>
      <c r="D4" s="218" t="s">
        <v>145</v>
      </c>
      <c r="E4" s="58" t="s">
        <v>146</v>
      </c>
      <c r="F4" s="58" t="s">
        <v>212</v>
      </c>
      <c r="G4" s="58" t="s">
        <v>147</v>
      </c>
      <c r="H4" s="310" t="s">
        <v>213</v>
      </c>
      <c r="I4" s="310" t="s">
        <v>214</v>
      </c>
      <c r="J4" s="361" t="s">
        <v>252</v>
      </c>
      <c r="K4" s="361" t="s">
        <v>256</v>
      </c>
      <c r="L4" s="407" t="s">
        <v>214</v>
      </c>
      <c r="M4" s="70" t="s">
        <v>256</v>
      </c>
    </row>
    <row r="5" spans="1:13" ht="16.5" customHeight="1" x14ac:dyDescent="0.25">
      <c r="A5" s="176">
        <v>0.65</v>
      </c>
      <c r="B5" s="73" t="s">
        <v>1</v>
      </c>
      <c r="C5" s="72">
        <v>2488.71</v>
      </c>
      <c r="D5" s="70">
        <v>0</v>
      </c>
      <c r="E5" s="72">
        <f>C5-D5</f>
        <v>2488.71</v>
      </c>
      <c r="F5" s="72">
        <f>C5*8%</f>
        <v>199.0968</v>
      </c>
      <c r="G5" s="76"/>
      <c r="H5" s="76">
        <v>44568</v>
      </c>
      <c r="I5" s="244">
        <v>0</v>
      </c>
      <c r="J5" s="391">
        <v>5.28E-2</v>
      </c>
      <c r="K5" s="76">
        <v>44530</v>
      </c>
      <c r="L5" s="76"/>
      <c r="M5" s="408">
        <f>SUM(E5)*J5</f>
        <v>131.40388799999999</v>
      </c>
    </row>
    <row r="6" spans="1:13" ht="16.5" customHeight="1" x14ac:dyDescent="0.25">
      <c r="A6" s="176">
        <v>0.65</v>
      </c>
      <c r="B6" s="73" t="s">
        <v>2</v>
      </c>
      <c r="C6" s="72">
        <v>2188.35</v>
      </c>
      <c r="D6" s="70">
        <v>0</v>
      </c>
      <c r="E6" s="72">
        <f t="shared" ref="E6:E16" si="0">C6-D6</f>
        <v>2188.35</v>
      </c>
      <c r="F6" s="72">
        <f t="shared" ref="F6:F16" si="1">C6*8%</f>
        <v>175.06799999999998</v>
      </c>
      <c r="G6" s="76"/>
      <c r="H6" s="74">
        <f>H5</f>
        <v>44568</v>
      </c>
      <c r="I6" s="244">
        <v>0</v>
      </c>
      <c r="J6" s="391">
        <v>5.28E-2</v>
      </c>
      <c r="K6" s="74">
        <f>K5</f>
        <v>44530</v>
      </c>
      <c r="L6" s="74"/>
      <c r="M6" s="72">
        <f t="shared" ref="M6:M68" si="2">SUM(E6)*J6</f>
        <v>115.54487999999999</v>
      </c>
    </row>
    <row r="7" spans="1:13" ht="16.5" customHeight="1" x14ac:dyDescent="0.25">
      <c r="A7" s="176">
        <v>0.65</v>
      </c>
      <c r="B7" s="73" t="s">
        <v>3</v>
      </c>
      <c r="C7" s="72">
        <v>2714.03</v>
      </c>
      <c r="D7" s="70">
        <v>0</v>
      </c>
      <c r="E7" s="72">
        <f t="shared" si="0"/>
        <v>2714.03</v>
      </c>
      <c r="F7" s="72">
        <f t="shared" si="1"/>
        <v>217.12240000000003</v>
      </c>
      <c r="G7" s="76"/>
      <c r="H7" s="74">
        <f>H6</f>
        <v>44568</v>
      </c>
      <c r="I7" s="244">
        <v>0</v>
      </c>
      <c r="J7" s="391">
        <v>5.28E-2</v>
      </c>
      <c r="K7" s="74">
        <f>K6</f>
        <v>44530</v>
      </c>
      <c r="L7" s="74"/>
      <c r="M7" s="72">
        <f t="shared" si="2"/>
        <v>143.30078400000002</v>
      </c>
    </row>
    <row r="8" spans="1:13" ht="16.5" customHeight="1" x14ac:dyDescent="0.25">
      <c r="A8" s="176">
        <v>0.65</v>
      </c>
      <c r="B8" s="73" t="s">
        <v>5</v>
      </c>
      <c r="C8" s="72">
        <v>8859.9500000000007</v>
      </c>
      <c r="D8" s="70">
        <v>0</v>
      </c>
      <c r="E8" s="72">
        <f t="shared" si="0"/>
        <v>8859.9500000000007</v>
      </c>
      <c r="F8" s="72">
        <f t="shared" si="1"/>
        <v>708.79600000000005</v>
      </c>
      <c r="G8" s="76"/>
      <c r="H8" s="74">
        <f t="shared" ref="H8:H32" si="3">H7</f>
        <v>44568</v>
      </c>
      <c r="I8" s="244">
        <v>0</v>
      </c>
      <c r="J8" s="391">
        <v>5.28E-2</v>
      </c>
      <c r="K8" s="76">
        <f>K7</f>
        <v>44530</v>
      </c>
      <c r="L8" s="76"/>
      <c r="M8" s="72">
        <f t="shared" si="2"/>
        <v>467.80536000000006</v>
      </c>
    </row>
    <row r="9" spans="1:13" ht="16.5" customHeight="1" x14ac:dyDescent="0.25">
      <c r="A9" s="176">
        <v>0.65</v>
      </c>
      <c r="B9" s="73" t="s">
        <v>6</v>
      </c>
      <c r="C9" s="72">
        <v>3668.58</v>
      </c>
      <c r="D9" s="70">
        <v>0</v>
      </c>
      <c r="E9" s="72">
        <f t="shared" si="0"/>
        <v>3668.58</v>
      </c>
      <c r="F9" s="72">
        <f t="shared" si="1"/>
        <v>293.4864</v>
      </c>
      <c r="G9" s="76"/>
      <c r="H9" s="74">
        <f t="shared" si="3"/>
        <v>44568</v>
      </c>
      <c r="I9" s="244">
        <v>0</v>
      </c>
      <c r="J9" s="391">
        <v>5.28E-2</v>
      </c>
      <c r="K9" s="76">
        <f t="shared" ref="K9:K16" si="4">K8</f>
        <v>44530</v>
      </c>
      <c r="L9" s="76"/>
      <c r="M9" s="72">
        <f t="shared" si="2"/>
        <v>193.70102399999999</v>
      </c>
    </row>
    <row r="10" spans="1:13" ht="16.5" customHeight="1" x14ac:dyDescent="0.25">
      <c r="A10" s="176">
        <v>0.65</v>
      </c>
      <c r="B10" s="73" t="s">
        <v>7</v>
      </c>
      <c r="C10" s="72">
        <v>2728.34</v>
      </c>
      <c r="D10" s="70">
        <v>0</v>
      </c>
      <c r="E10" s="72">
        <f t="shared" si="0"/>
        <v>2728.34</v>
      </c>
      <c r="F10" s="72">
        <f t="shared" si="1"/>
        <v>218.2672</v>
      </c>
      <c r="G10" s="76"/>
      <c r="H10" s="74">
        <f t="shared" si="3"/>
        <v>44568</v>
      </c>
      <c r="I10" s="244">
        <v>0</v>
      </c>
      <c r="J10" s="391">
        <v>5.28E-2</v>
      </c>
      <c r="K10" s="76">
        <f t="shared" si="4"/>
        <v>44530</v>
      </c>
      <c r="L10" s="74"/>
      <c r="M10" s="72">
        <f t="shared" si="2"/>
        <v>144.056352</v>
      </c>
    </row>
    <row r="11" spans="1:13" ht="16.5" customHeight="1" x14ac:dyDescent="0.25">
      <c r="A11" s="176">
        <v>0.65</v>
      </c>
      <c r="B11" s="73" t="s">
        <v>8</v>
      </c>
      <c r="C11" s="72">
        <v>8525.5499999999993</v>
      </c>
      <c r="D11" s="70">
        <v>0</v>
      </c>
      <c r="E11" s="72">
        <f t="shared" si="0"/>
        <v>8525.5499999999993</v>
      </c>
      <c r="F11" s="72">
        <f t="shared" si="1"/>
        <v>682.04399999999998</v>
      </c>
      <c r="G11" s="311"/>
      <c r="H11" s="74">
        <f t="shared" si="3"/>
        <v>44568</v>
      </c>
      <c r="I11" s="244">
        <v>0</v>
      </c>
      <c r="J11" s="391">
        <v>5.28E-2</v>
      </c>
      <c r="K11" s="76">
        <f t="shared" si="4"/>
        <v>44530</v>
      </c>
      <c r="L11" s="74"/>
      <c r="M11" s="72">
        <f t="shared" si="2"/>
        <v>450.14903999999996</v>
      </c>
    </row>
    <row r="12" spans="1:13" ht="16.5" customHeight="1" x14ac:dyDescent="0.25">
      <c r="A12" s="176">
        <v>0.65</v>
      </c>
      <c r="B12" s="73" t="s">
        <v>9</v>
      </c>
      <c r="C12" s="72">
        <v>4182.93</v>
      </c>
      <c r="D12" s="70">
        <v>0</v>
      </c>
      <c r="E12" s="72">
        <f t="shared" si="0"/>
        <v>4182.93</v>
      </c>
      <c r="F12" s="72">
        <f t="shared" si="1"/>
        <v>334.63440000000003</v>
      </c>
      <c r="G12" s="311"/>
      <c r="H12" s="74">
        <f t="shared" si="3"/>
        <v>44568</v>
      </c>
      <c r="I12" s="244">
        <v>0</v>
      </c>
      <c r="J12" s="391">
        <v>5.28E-2</v>
      </c>
      <c r="K12" s="76">
        <f t="shared" si="4"/>
        <v>44530</v>
      </c>
      <c r="L12" s="76"/>
      <c r="M12" s="72">
        <f t="shared" si="2"/>
        <v>220.85870400000002</v>
      </c>
    </row>
    <row r="13" spans="1:13" ht="16.5" customHeight="1" x14ac:dyDescent="0.25">
      <c r="A13" s="176">
        <v>0.65</v>
      </c>
      <c r="B13" s="73" t="s">
        <v>11</v>
      </c>
      <c r="C13" s="72">
        <v>2600.17</v>
      </c>
      <c r="D13" s="70">
        <v>0</v>
      </c>
      <c r="E13" s="72">
        <f t="shared" si="0"/>
        <v>2600.17</v>
      </c>
      <c r="F13" s="72">
        <f t="shared" si="1"/>
        <v>208.0136</v>
      </c>
      <c r="G13" s="76"/>
      <c r="H13" s="74">
        <f t="shared" si="3"/>
        <v>44568</v>
      </c>
      <c r="I13" s="244">
        <v>0</v>
      </c>
      <c r="J13" s="391">
        <v>5.28E-2</v>
      </c>
      <c r="K13" s="76">
        <f t="shared" si="4"/>
        <v>44530</v>
      </c>
      <c r="L13" s="76"/>
      <c r="M13" s="72">
        <f t="shared" si="2"/>
        <v>137.28897599999999</v>
      </c>
    </row>
    <row r="14" spans="1:13" ht="16.5" customHeight="1" x14ac:dyDescent="0.25">
      <c r="A14" s="176">
        <v>0.65</v>
      </c>
      <c r="B14" s="73" t="s">
        <v>12</v>
      </c>
      <c r="C14" s="72">
        <v>1314.96</v>
      </c>
      <c r="D14" s="70">
        <v>0</v>
      </c>
      <c r="E14" s="72">
        <f t="shared" si="0"/>
        <v>1314.96</v>
      </c>
      <c r="F14" s="72">
        <f t="shared" si="1"/>
        <v>105.19680000000001</v>
      </c>
      <c r="G14" s="76"/>
      <c r="H14" s="74">
        <f t="shared" si="3"/>
        <v>44568</v>
      </c>
      <c r="I14" s="244">
        <v>0</v>
      </c>
      <c r="J14" s="391">
        <v>5.28E-2</v>
      </c>
      <c r="K14" s="76">
        <f t="shared" si="4"/>
        <v>44530</v>
      </c>
      <c r="L14" s="76"/>
      <c r="M14" s="72">
        <f t="shared" si="2"/>
        <v>69.429888000000005</v>
      </c>
    </row>
    <row r="15" spans="1:13" ht="16.5" customHeight="1" x14ac:dyDescent="0.25">
      <c r="A15" s="176">
        <v>0.65</v>
      </c>
      <c r="B15" s="73" t="s">
        <v>13</v>
      </c>
      <c r="C15" s="72">
        <v>1769.34</v>
      </c>
      <c r="D15" s="70">
        <v>0</v>
      </c>
      <c r="E15" s="72">
        <f t="shared" si="0"/>
        <v>1769.34</v>
      </c>
      <c r="F15" s="72">
        <f t="shared" si="1"/>
        <v>141.5472</v>
      </c>
      <c r="G15" s="76"/>
      <c r="H15" s="74">
        <f t="shared" si="3"/>
        <v>44568</v>
      </c>
      <c r="I15" s="244">
        <v>0</v>
      </c>
      <c r="J15" s="391">
        <v>5.28E-2</v>
      </c>
      <c r="K15" s="76">
        <f t="shared" si="4"/>
        <v>44530</v>
      </c>
      <c r="L15" s="76"/>
      <c r="M15" s="72">
        <f t="shared" si="2"/>
        <v>93.421151999999992</v>
      </c>
    </row>
    <row r="16" spans="1:13" ht="16.5" customHeight="1" x14ac:dyDescent="0.25">
      <c r="A16" s="176">
        <v>0.65</v>
      </c>
      <c r="B16" s="73" t="s">
        <v>104</v>
      </c>
      <c r="C16" s="72">
        <v>2287.38</v>
      </c>
      <c r="D16" s="70">
        <v>0</v>
      </c>
      <c r="E16" s="72">
        <f t="shared" si="0"/>
        <v>2287.38</v>
      </c>
      <c r="F16" s="72">
        <f t="shared" si="1"/>
        <v>182.99040000000002</v>
      </c>
      <c r="G16" s="76"/>
      <c r="H16" s="74">
        <f t="shared" si="3"/>
        <v>44568</v>
      </c>
      <c r="I16" s="244">
        <v>0</v>
      </c>
      <c r="J16" s="391">
        <v>5.28E-2</v>
      </c>
      <c r="K16" s="76">
        <f t="shared" si="4"/>
        <v>44530</v>
      </c>
      <c r="L16" s="76"/>
      <c r="M16" s="72">
        <f t="shared" si="2"/>
        <v>120.77366400000001</v>
      </c>
    </row>
    <row r="17" spans="1:13" ht="16.5" customHeight="1" x14ac:dyDescent="0.25">
      <c r="A17" s="190"/>
      <c r="B17" s="312" t="s">
        <v>156</v>
      </c>
      <c r="C17" s="312">
        <f>SUM(C5:C16)</f>
        <v>43328.289999999994</v>
      </c>
      <c r="D17" s="181">
        <f>SUM(D5:D16)</f>
        <v>0</v>
      </c>
      <c r="E17" s="317">
        <f>SUM(E5:E16)</f>
        <v>43328.289999999994</v>
      </c>
      <c r="F17" s="181">
        <f>SUM(F5:F16)</f>
        <v>3466.2632000000003</v>
      </c>
      <c r="G17" s="181"/>
      <c r="H17" s="251"/>
      <c r="I17" s="181"/>
      <c r="J17" s="181"/>
      <c r="K17" s="181"/>
      <c r="L17" s="181"/>
      <c r="M17" s="317">
        <f>SUM(M5:M16)</f>
        <v>2287.7337119999997</v>
      </c>
    </row>
    <row r="18" spans="1:13" ht="16.5" customHeight="1" x14ac:dyDescent="0.25">
      <c r="A18" s="176">
        <v>0.8</v>
      </c>
      <c r="B18" s="73" t="s">
        <v>19</v>
      </c>
      <c r="C18" s="72">
        <v>2737.19</v>
      </c>
      <c r="D18" s="70">
        <v>0</v>
      </c>
      <c r="E18" s="72">
        <f>C18-D18</f>
        <v>2737.19</v>
      </c>
      <c r="F18" s="72">
        <f>C18*8%</f>
        <v>218.9752</v>
      </c>
      <c r="G18" s="76"/>
      <c r="H18" s="74">
        <f>H16</f>
        <v>44568</v>
      </c>
      <c r="I18" s="232">
        <v>0</v>
      </c>
      <c r="J18" s="391">
        <f>J16</f>
        <v>5.28E-2</v>
      </c>
      <c r="K18" s="74" t="e">
        <f>#REF!</f>
        <v>#REF!</v>
      </c>
      <c r="L18" s="74"/>
      <c r="M18" s="72">
        <f t="shared" si="2"/>
        <v>144.52363199999999</v>
      </c>
    </row>
    <row r="19" spans="1:13" ht="16.5" customHeight="1" x14ac:dyDescent="0.25">
      <c r="A19" s="176">
        <v>0.8</v>
      </c>
      <c r="B19" s="73" t="s">
        <v>20</v>
      </c>
      <c r="C19" s="72">
        <v>3017.17</v>
      </c>
      <c r="D19" s="70">
        <v>0</v>
      </c>
      <c r="E19" s="72">
        <f t="shared" ref="E19:E32" si="5">C19-D19</f>
        <v>3017.17</v>
      </c>
      <c r="F19" s="72">
        <f t="shared" ref="F19:F32" si="6">C19*8%</f>
        <v>241.37360000000001</v>
      </c>
      <c r="G19" s="76"/>
      <c r="H19" s="74">
        <f t="shared" si="3"/>
        <v>44568</v>
      </c>
      <c r="I19" s="232">
        <v>0</v>
      </c>
      <c r="J19" s="391">
        <f>J18</f>
        <v>5.28E-2</v>
      </c>
      <c r="K19" s="74" t="e">
        <f>K18</f>
        <v>#REF!</v>
      </c>
      <c r="L19" s="74"/>
      <c r="M19" s="72">
        <f t="shared" si="2"/>
        <v>159.30657600000001</v>
      </c>
    </row>
    <row r="20" spans="1:13" ht="16.5" customHeight="1" x14ac:dyDescent="0.25">
      <c r="A20" s="176">
        <v>0.8</v>
      </c>
      <c r="B20" s="73" t="s">
        <v>21</v>
      </c>
      <c r="C20" s="72">
        <v>434.88</v>
      </c>
      <c r="D20" s="70">
        <v>347.9</v>
      </c>
      <c r="E20" s="72">
        <f t="shared" si="5"/>
        <v>86.980000000000018</v>
      </c>
      <c r="F20" s="72">
        <f t="shared" si="6"/>
        <v>34.790399999999998</v>
      </c>
      <c r="G20" s="76">
        <v>44568</v>
      </c>
      <c r="H20" s="74">
        <f t="shared" si="3"/>
        <v>44568</v>
      </c>
      <c r="I20" s="232">
        <f t="shared" ref="I20:I31" si="7">G20-H20</f>
        <v>0</v>
      </c>
      <c r="J20" s="391">
        <f t="shared" ref="J20:J32" si="8">J18</f>
        <v>5.28E-2</v>
      </c>
      <c r="K20" s="76" t="e">
        <f>K19</f>
        <v>#REF!</v>
      </c>
      <c r="L20" s="76"/>
      <c r="M20" s="72">
        <f t="shared" si="2"/>
        <v>4.5925440000000011</v>
      </c>
    </row>
    <row r="21" spans="1:13" ht="16.5" customHeight="1" x14ac:dyDescent="0.25">
      <c r="A21" s="176">
        <v>0.8</v>
      </c>
      <c r="B21" s="73" t="s">
        <v>22</v>
      </c>
      <c r="C21" s="72">
        <v>3832.32</v>
      </c>
      <c r="D21" s="70">
        <v>0</v>
      </c>
      <c r="E21" s="72">
        <f t="shared" si="5"/>
        <v>3832.32</v>
      </c>
      <c r="F21" s="72">
        <f t="shared" si="6"/>
        <v>306.5856</v>
      </c>
      <c r="G21" s="76"/>
      <c r="H21" s="74">
        <f t="shared" si="3"/>
        <v>44568</v>
      </c>
      <c r="I21" s="232">
        <v>0</v>
      </c>
      <c r="J21" s="391">
        <f t="shared" si="8"/>
        <v>5.28E-2</v>
      </c>
      <c r="K21" s="76" t="e">
        <f>K20</f>
        <v>#REF!</v>
      </c>
      <c r="L21" s="76"/>
      <c r="M21" s="72">
        <f t="shared" si="2"/>
        <v>202.346496</v>
      </c>
    </row>
    <row r="22" spans="1:13" ht="16.5" customHeight="1" x14ac:dyDescent="0.25">
      <c r="A22" s="176">
        <v>0.8</v>
      </c>
      <c r="B22" s="73" t="s">
        <v>23</v>
      </c>
      <c r="C22" s="72">
        <v>4259.13</v>
      </c>
      <c r="D22" s="70">
        <v>0</v>
      </c>
      <c r="E22" s="72">
        <f t="shared" si="5"/>
        <v>4259.13</v>
      </c>
      <c r="F22" s="72">
        <f t="shared" si="6"/>
        <v>340.73040000000003</v>
      </c>
      <c r="G22" s="76"/>
      <c r="H22" s="74">
        <f t="shared" si="3"/>
        <v>44568</v>
      </c>
      <c r="I22" s="232">
        <v>0</v>
      </c>
      <c r="J22" s="391">
        <f t="shared" si="8"/>
        <v>5.28E-2</v>
      </c>
      <c r="K22" s="76" t="e">
        <f t="shared" ref="K22:K32" si="9">K21</f>
        <v>#REF!</v>
      </c>
      <c r="L22" s="74"/>
      <c r="M22" s="72">
        <f t="shared" si="2"/>
        <v>224.88206400000001</v>
      </c>
    </row>
    <row r="23" spans="1:13" ht="16.5" customHeight="1" x14ac:dyDescent="0.25">
      <c r="A23" s="176">
        <v>0.8</v>
      </c>
      <c r="B23" s="73" t="s">
        <v>24</v>
      </c>
      <c r="C23" s="72">
        <v>823.03</v>
      </c>
      <c r="D23" s="70">
        <v>0</v>
      </c>
      <c r="E23" s="72">
        <f t="shared" si="5"/>
        <v>823.03</v>
      </c>
      <c r="F23" s="72">
        <f t="shared" si="6"/>
        <v>65.842399999999998</v>
      </c>
      <c r="G23" s="76"/>
      <c r="H23" s="74">
        <f t="shared" si="3"/>
        <v>44568</v>
      </c>
      <c r="I23" s="232">
        <v>0</v>
      </c>
      <c r="J23" s="391">
        <f t="shared" si="8"/>
        <v>5.28E-2</v>
      </c>
      <c r="K23" s="76" t="e">
        <f t="shared" si="9"/>
        <v>#REF!</v>
      </c>
      <c r="L23" s="74"/>
      <c r="M23" s="72">
        <f t="shared" si="2"/>
        <v>43.455984000000001</v>
      </c>
    </row>
    <row r="24" spans="1:13" ht="16.5" customHeight="1" x14ac:dyDescent="0.25">
      <c r="A24" s="176">
        <v>0.8</v>
      </c>
      <c r="B24" s="73" t="s">
        <v>25</v>
      </c>
      <c r="C24" s="72">
        <v>8444.86</v>
      </c>
      <c r="D24" s="70">
        <v>0</v>
      </c>
      <c r="E24" s="72">
        <f t="shared" si="5"/>
        <v>8444.86</v>
      </c>
      <c r="F24" s="72">
        <f t="shared" si="6"/>
        <v>675.58880000000011</v>
      </c>
      <c r="G24" s="76"/>
      <c r="H24" s="74">
        <f t="shared" si="3"/>
        <v>44568</v>
      </c>
      <c r="I24" s="232">
        <v>0</v>
      </c>
      <c r="J24" s="391">
        <f t="shared" si="8"/>
        <v>5.28E-2</v>
      </c>
      <c r="K24" s="76" t="e">
        <f t="shared" si="9"/>
        <v>#REF!</v>
      </c>
      <c r="L24" s="74"/>
      <c r="M24" s="72">
        <f t="shared" si="2"/>
        <v>445.88860800000003</v>
      </c>
    </row>
    <row r="25" spans="1:13" ht="16.5" customHeight="1" x14ac:dyDescent="0.25">
      <c r="A25" s="176">
        <v>0.8</v>
      </c>
      <c r="B25" s="73" t="s">
        <v>60</v>
      </c>
      <c r="C25" s="72">
        <v>284.58999999999997</v>
      </c>
      <c r="D25" s="70">
        <v>227.67</v>
      </c>
      <c r="E25" s="72">
        <f t="shared" si="5"/>
        <v>56.919999999999987</v>
      </c>
      <c r="F25" s="72">
        <f t="shared" si="6"/>
        <v>22.767199999999999</v>
      </c>
      <c r="G25" s="76">
        <v>44568</v>
      </c>
      <c r="H25" s="74">
        <f t="shared" si="3"/>
        <v>44568</v>
      </c>
      <c r="I25" s="232">
        <f t="shared" si="7"/>
        <v>0</v>
      </c>
      <c r="J25" s="391">
        <f t="shared" si="8"/>
        <v>5.28E-2</v>
      </c>
      <c r="K25" s="76" t="e">
        <f t="shared" si="9"/>
        <v>#REF!</v>
      </c>
      <c r="L25" s="74"/>
      <c r="M25" s="72">
        <f t="shared" si="2"/>
        <v>3.0053759999999992</v>
      </c>
    </row>
    <row r="26" spans="1:13" ht="16.5" customHeight="1" x14ac:dyDescent="0.25">
      <c r="A26" s="176">
        <v>0.8</v>
      </c>
      <c r="B26" s="73" t="s">
        <v>26</v>
      </c>
      <c r="C26" s="72">
        <v>6298.08</v>
      </c>
      <c r="D26" s="70">
        <v>0</v>
      </c>
      <c r="E26" s="72">
        <f t="shared" si="5"/>
        <v>6298.08</v>
      </c>
      <c r="F26" s="72">
        <f t="shared" si="6"/>
        <v>503.84640000000002</v>
      </c>
      <c r="G26" s="76"/>
      <c r="H26" s="74">
        <f t="shared" si="3"/>
        <v>44568</v>
      </c>
      <c r="I26" s="232">
        <v>0</v>
      </c>
      <c r="J26" s="391">
        <f t="shared" si="8"/>
        <v>5.28E-2</v>
      </c>
      <c r="K26" s="76" t="e">
        <f t="shared" si="9"/>
        <v>#REF!</v>
      </c>
      <c r="L26" s="74"/>
      <c r="M26" s="72">
        <f t="shared" si="2"/>
        <v>332.53862399999997</v>
      </c>
    </row>
    <row r="27" spans="1:13" ht="16.5" customHeight="1" x14ac:dyDescent="0.25">
      <c r="A27" s="176">
        <v>0.8</v>
      </c>
      <c r="B27" s="73" t="s">
        <v>27</v>
      </c>
      <c r="C27" s="72">
        <v>3354.14</v>
      </c>
      <c r="D27" s="70">
        <v>0</v>
      </c>
      <c r="E27" s="72">
        <f t="shared" si="5"/>
        <v>3354.14</v>
      </c>
      <c r="F27" s="72">
        <f t="shared" si="6"/>
        <v>268.33119999999997</v>
      </c>
      <c r="G27" s="76"/>
      <c r="H27" s="74">
        <f t="shared" si="3"/>
        <v>44568</v>
      </c>
      <c r="I27" s="232">
        <v>0</v>
      </c>
      <c r="J27" s="391">
        <f t="shared" si="8"/>
        <v>5.28E-2</v>
      </c>
      <c r="K27" s="76" t="e">
        <f t="shared" si="9"/>
        <v>#REF!</v>
      </c>
      <c r="L27" s="74"/>
      <c r="M27" s="72">
        <f t="shared" si="2"/>
        <v>177.098592</v>
      </c>
    </row>
    <row r="28" spans="1:13" ht="16.5" customHeight="1" x14ac:dyDescent="0.25">
      <c r="A28" s="176">
        <v>0.8</v>
      </c>
      <c r="B28" s="73" t="s">
        <v>28</v>
      </c>
      <c r="C28" s="72">
        <v>509.6</v>
      </c>
      <c r="D28" s="70">
        <v>407.68</v>
      </c>
      <c r="E28" s="72">
        <f t="shared" si="5"/>
        <v>101.92000000000002</v>
      </c>
      <c r="F28" s="72">
        <f t="shared" si="6"/>
        <v>40.768000000000001</v>
      </c>
      <c r="G28" s="76">
        <v>44568</v>
      </c>
      <c r="H28" s="74">
        <f t="shared" si="3"/>
        <v>44568</v>
      </c>
      <c r="I28" s="232">
        <f t="shared" si="7"/>
        <v>0</v>
      </c>
      <c r="J28" s="391">
        <f t="shared" si="8"/>
        <v>5.28E-2</v>
      </c>
      <c r="K28" s="76" t="e">
        <f t="shared" si="9"/>
        <v>#REF!</v>
      </c>
      <c r="L28" s="74"/>
      <c r="M28" s="72">
        <f t="shared" si="2"/>
        <v>5.3813760000000004</v>
      </c>
    </row>
    <row r="29" spans="1:13" ht="16.5" customHeight="1" x14ac:dyDescent="0.25">
      <c r="A29" s="176">
        <v>0.8</v>
      </c>
      <c r="B29" s="73" t="s">
        <v>29</v>
      </c>
      <c r="C29" s="72">
        <v>2397.64</v>
      </c>
      <c r="D29" s="70">
        <v>0</v>
      </c>
      <c r="E29" s="72">
        <f t="shared" si="5"/>
        <v>2397.64</v>
      </c>
      <c r="F29" s="72">
        <f t="shared" si="6"/>
        <v>191.81119999999999</v>
      </c>
      <c r="G29" s="76"/>
      <c r="H29" s="74">
        <f t="shared" si="3"/>
        <v>44568</v>
      </c>
      <c r="I29" s="232">
        <v>0</v>
      </c>
      <c r="J29" s="391">
        <f t="shared" si="8"/>
        <v>5.28E-2</v>
      </c>
      <c r="K29" s="76" t="e">
        <f t="shared" si="9"/>
        <v>#REF!</v>
      </c>
      <c r="L29" s="74"/>
      <c r="M29" s="72">
        <f t="shared" si="2"/>
        <v>126.59539199999999</v>
      </c>
    </row>
    <row r="30" spans="1:13" ht="16.5" customHeight="1" x14ac:dyDescent="0.25">
      <c r="A30" s="176">
        <v>0.8</v>
      </c>
      <c r="B30" s="73" t="s">
        <v>30</v>
      </c>
      <c r="C30" s="72">
        <v>4188.24</v>
      </c>
      <c r="D30" s="70">
        <v>0</v>
      </c>
      <c r="E30" s="72">
        <f t="shared" si="5"/>
        <v>4188.24</v>
      </c>
      <c r="F30" s="72">
        <f t="shared" si="6"/>
        <v>335.05919999999998</v>
      </c>
      <c r="G30" s="76"/>
      <c r="H30" s="74">
        <f t="shared" si="3"/>
        <v>44568</v>
      </c>
      <c r="I30" s="232">
        <v>0</v>
      </c>
      <c r="J30" s="391">
        <f t="shared" si="8"/>
        <v>5.28E-2</v>
      </c>
      <c r="K30" s="76" t="e">
        <f t="shared" si="9"/>
        <v>#REF!</v>
      </c>
      <c r="L30" s="74"/>
      <c r="M30" s="72">
        <f t="shared" si="2"/>
        <v>221.139072</v>
      </c>
    </row>
    <row r="31" spans="1:13" ht="16.5" customHeight="1" x14ac:dyDescent="0.25">
      <c r="A31" s="176">
        <v>0.8</v>
      </c>
      <c r="B31" s="73" t="s">
        <v>31</v>
      </c>
      <c r="C31" s="72">
        <v>3615.41</v>
      </c>
      <c r="D31" s="70">
        <v>1000</v>
      </c>
      <c r="E31" s="72">
        <f t="shared" si="5"/>
        <v>2615.41</v>
      </c>
      <c r="F31" s="72">
        <f t="shared" si="6"/>
        <v>289.2328</v>
      </c>
      <c r="G31" s="76">
        <v>44691</v>
      </c>
      <c r="H31" s="74">
        <f t="shared" si="3"/>
        <v>44568</v>
      </c>
      <c r="I31" s="232">
        <f t="shared" si="7"/>
        <v>123</v>
      </c>
      <c r="J31" s="391">
        <f t="shared" si="8"/>
        <v>5.28E-2</v>
      </c>
      <c r="K31" s="76" t="e">
        <f t="shared" si="9"/>
        <v>#REF!</v>
      </c>
      <c r="L31" s="74"/>
      <c r="M31" s="72">
        <f t="shared" si="2"/>
        <v>138.093648</v>
      </c>
    </row>
    <row r="32" spans="1:13" ht="16.5" customHeight="1" x14ac:dyDescent="0.25">
      <c r="A32" s="176">
        <v>0.8</v>
      </c>
      <c r="B32" s="73" t="s">
        <v>32</v>
      </c>
      <c r="C32" s="72">
        <v>1290.32</v>
      </c>
      <c r="D32" s="70">
        <v>0</v>
      </c>
      <c r="E32" s="72">
        <f t="shared" si="5"/>
        <v>1290.32</v>
      </c>
      <c r="F32" s="72">
        <f t="shared" si="6"/>
        <v>103.2256</v>
      </c>
      <c r="G32" s="76"/>
      <c r="H32" s="74">
        <f t="shared" si="3"/>
        <v>44568</v>
      </c>
      <c r="I32" s="232">
        <v>0</v>
      </c>
      <c r="J32" s="391">
        <f t="shared" si="8"/>
        <v>5.28E-2</v>
      </c>
      <c r="K32" s="76" t="e">
        <f t="shared" si="9"/>
        <v>#REF!</v>
      </c>
      <c r="L32" s="74"/>
      <c r="M32" s="72">
        <f t="shared" si="2"/>
        <v>68.128895999999997</v>
      </c>
    </row>
    <row r="33" spans="1:13" ht="16.5" customHeight="1" x14ac:dyDescent="0.25">
      <c r="A33" s="190"/>
      <c r="B33" s="314" t="s">
        <v>160</v>
      </c>
      <c r="C33" s="314">
        <f>SUM(C18:C32)</f>
        <v>45486.6</v>
      </c>
      <c r="D33" s="314">
        <f>SUM(D18:D32)</f>
        <v>1983.25</v>
      </c>
      <c r="E33" s="327">
        <f>SUM(E18:E32)</f>
        <v>43503.35</v>
      </c>
      <c r="F33" s="314">
        <f>SUM(F18:F32)</f>
        <v>3638.9280000000003</v>
      </c>
      <c r="G33" s="315"/>
      <c r="H33" s="323"/>
      <c r="I33" s="315"/>
      <c r="J33" s="315"/>
      <c r="K33" s="315"/>
      <c r="L33" s="315"/>
      <c r="M33" s="317">
        <f>SUM(M18:M32)</f>
        <v>2296.9768800000002</v>
      </c>
    </row>
    <row r="34" spans="1:13" ht="16.5" customHeight="1" x14ac:dyDescent="0.25">
      <c r="A34" s="313"/>
      <c r="B34" s="73" t="s">
        <v>33</v>
      </c>
      <c r="C34" s="72">
        <v>2341.79</v>
      </c>
      <c r="D34" s="70">
        <v>0</v>
      </c>
      <c r="E34" s="72">
        <f>C34-D34</f>
        <v>2341.79</v>
      </c>
      <c r="F34" s="70">
        <f>C34*8%</f>
        <v>187.3432</v>
      </c>
      <c r="G34" s="311"/>
      <c r="H34" s="74">
        <f>H32</f>
        <v>44568</v>
      </c>
      <c r="I34" s="324">
        <v>0</v>
      </c>
      <c r="J34" s="357">
        <v>5.28E-2</v>
      </c>
      <c r="K34" s="316"/>
      <c r="L34" s="316"/>
      <c r="M34" s="72">
        <f t="shared" si="2"/>
        <v>123.646512</v>
      </c>
    </row>
    <row r="35" spans="1:13" ht="16.5" customHeight="1" x14ac:dyDescent="0.25">
      <c r="A35" s="313"/>
      <c r="B35" s="73" t="s">
        <v>34</v>
      </c>
      <c r="C35" s="72">
        <v>1286.76</v>
      </c>
      <c r="D35" s="70">
        <v>0</v>
      </c>
      <c r="E35" s="72">
        <f t="shared" ref="E35:E96" si="10">C35-D35</f>
        <v>1286.76</v>
      </c>
      <c r="F35" s="70">
        <f t="shared" ref="F35:F98" si="11">C35*8%</f>
        <v>102.9408</v>
      </c>
      <c r="G35" s="311"/>
      <c r="H35" s="74">
        <f>H34</f>
        <v>44568</v>
      </c>
      <c r="I35" s="324">
        <v>0</v>
      </c>
      <c r="J35" s="357">
        <v>5.28E-2</v>
      </c>
      <c r="K35" s="316"/>
      <c r="L35" s="316"/>
      <c r="M35" s="72">
        <f t="shared" si="2"/>
        <v>67.940928</v>
      </c>
    </row>
    <row r="36" spans="1:13" ht="16.5" customHeight="1" x14ac:dyDescent="0.25">
      <c r="A36" s="313"/>
      <c r="B36" s="73" t="s">
        <v>16</v>
      </c>
      <c r="C36" s="72">
        <v>2.78</v>
      </c>
      <c r="D36" s="70">
        <f t="shared" ref="D36:D94" si="12">C36</f>
        <v>2.78</v>
      </c>
      <c r="E36" s="72">
        <f t="shared" si="10"/>
        <v>0</v>
      </c>
      <c r="F36" s="70">
        <f t="shared" si="11"/>
        <v>0.22239999999999999</v>
      </c>
      <c r="G36" s="311">
        <v>44568</v>
      </c>
      <c r="H36" s="74">
        <f t="shared" ref="H36:H97" si="13">H34</f>
        <v>44568</v>
      </c>
      <c r="I36" s="324">
        <f t="shared" ref="I36:I94" si="14">G36-H36</f>
        <v>0</v>
      </c>
      <c r="J36" s="357">
        <v>5.28E-2</v>
      </c>
      <c r="K36" s="316"/>
      <c r="L36" s="316"/>
      <c r="M36" s="72">
        <f t="shared" si="2"/>
        <v>0</v>
      </c>
    </row>
    <row r="37" spans="1:13" ht="16.5" customHeight="1" x14ac:dyDescent="0.25">
      <c r="A37" s="313"/>
      <c r="B37" s="73" t="s">
        <v>35</v>
      </c>
      <c r="C37" s="72">
        <v>102.54</v>
      </c>
      <c r="D37" s="70">
        <f t="shared" si="12"/>
        <v>102.54</v>
      </c>
      <c r="E37" s="72">
        <f t="shared" si="10"/>
        <v>0</v>
      </c>
      <c r="F37" s="70">
        <f t="shared" si="11"/>
        <v>8.2032000000000007</v>
      </c>
      <c r="G37" s="311">
        <v>44568</v>
      </c>
      <c r="H37" s="74">
        <f t="shared" si="13"/>
        <v>44568</v>
      </c>
      <c r="I37" s="324">
        <f t="shared" si="14"/>
        <v>0</v>
      </c>
      <c r="J37" s="357">
        <v>5.28E-2</v>
      </c>
      <c r="K37" s="316"/>
      <c r="L37" s="316"/>
      <c r="M37" s="72">
        <f t="shared" si="2"/>
        <v>0</v>
      </c>
    </row>
    <row r="38" spans="1:13" ht="16.5" customHeight="1" x14ac:dyDescent="0.25">
      <c r="A38" s="313"/>
      <c r="B38" s="73" t="s">
        <v>219</v>
      </c>
      <c r="C38" s="72">
        <v>795.07</v>
      </c>
      <c r="D38" s="70">
        <f t="shared" si="12"/>
        <v>795.07</v>
      </c>
      <c r="E38" s="72">
        <f t="shared" si="10"/>
        <v>0</v>
      </c>
      <c r="F38" s="70">
        <f t="shared" si="11"/>
        <v>63.605600000000003</v>
      </c>
      <c r="G38" s="311">
        <v>44568</v>
      </c>
      <c r="H38" s="74">
        <f t="shared" si="13"/>
        <v>44568</v>
      </c>
      <c r="I38" s="324">
        <f t="shared" si="14"/>
        <v>0</v>
      </c>
      <c r="J38" s="357">
        <v>5.28E-2</v>
      </c>
      <c r="K38" s="316"/>
      <c r="L38" s="316"/>
      <c r="M38" s="72">
        <f t="shared" si="2"/>
        <v>0</v>
      </c>
    </row>
    <row r="39" spans="1:13" ht="16.5" customHeight="1" x14ac:dyDescent="0.25">
      <c r="A39" s="313"/>
      <c r="B39" s="73" t="s">
        <v>37</v>
      </c>
      <c r="C39" s="72">
        <v>1700.68</v>
      </c>
      <c r="D39" s="70">
        <v>0</v>
      </c>
      <c r="E39" s="72">
        <f t="shared" si="10"/>
        <v>1700.68</v>
      </c>
      <c r="F39" s="70">
        <f t="shared" si="11"/>
        <v>136.05440000000002</v>
      </c>
      <c r="G39" s="311"/>
      <c r="H39" s="74">
        <f t="shared" si="13"/>
        <v>44568</v>
      </c>
      <c r="I39" s="324">
        <v>0</v>
      </c>
      <c r="J39" s="357">
        <v>5.28E-2</v>
      </c>
      <c r="K39" s="316"/>
      <c r="L39" s="316"/>
      <c r="M39" s="72">
        <f t="shared" si="2"/>
        <v>89.795904000000007</v>
      </c>
    </row>
    <row r="40" spans="1:13" ht="16.5" customHeight="1" x14ac:dyDescent="0.25">
      <c r="A40" s="313"/>
      <c r="B40" s="73" t="s">
        <v>105</v>
      </c>
      <c r="C40" s="72">
        <v>238.63</v>
      </c>
      <c r="D40" s="70">
        <f t="shared" si="12"/>
        <v>238.63</v>
      </c>
      <c r="E40" s="72">
        <f t="shared" si="10"/>
        <v>0</v>
      </c>
      <c r="F40" s="70">
        <f t="shared" si="11"/>
        <v>19.090399999999999</v>
      </c>
      <c r="G40" s="311">
        <v>44568</v>
      </c>
      <c r="H40" s="74">
        <f t="shared" si="13"/>
        <v>44568</v>
      </c>
      <c r="I40" s="324">
        <f t="shared" si="14"/>
        <v>0</v>
      </c>
      <c r="J40" s="357">
        <v>5.28E-2</v>
      </c>
      <c r="K40" s="316"/>
      <c r="L40" s="316"/>
      <c r="M40" s="72">
        <f t="shared" si="2"/>
        <v>0</v>
      </c>
    </row>
    <row r="41" spans="1:13" ht="16.5" customHeight="1" x14ac:dyDescent="0.25">
      <c r="A41" s="313"/>
      <c r="B41" s="73" t="s">
        <v>38</v>
      </c>
      <c r="C41" s="72">
        <v>3641.41</v>
      </c>
      <c r="D41" s="70">
        <v>0</v>
      </c>
      <c r="E41" s="72">
        <f t="shared" si="10"/>
        <v>3641.41</v>
      </c>
      <c r="F41" s="70">
        <f t="shared" si="11"/>
        <v>291.31279999999998</v>
      </c>
      <c r="G41" s="311"/>
      <c r="H41" s="74">
        <f t="shared" si="13"/>
        <v>44568</v>
      </c>
      <c r="I41" s="324">
        <v>0</v>
      </c>
      <c r="J41" s="357">
        <v>5.28E-2</v>
      </c>
      <c r="K41" s="316"/>
      <c r="L41" s="316"/>
      <c r="M41" s="72">
        <f t="shared" si="2"/>
        <v>192.266448</v>
      </c>
    </row>
    <row r="42" spans="1:13" ht="16.5" customHeight="1" x14ac:dyDescent="0.25">
      <c r="A42" s="313"/>
      <c r="B42" s="73" t="s">
        <v>39</v>
      </c>
      <c r="C42" s="72">
        <v>10.75</v>
      </c>
      <c r="D42" s="70">
        <f t="shared" si="12"/>
        <v>10.75</v>
      </c>
      <c r="E42" s="72">
        <f t="shared" si="10"/>
        <v>0</v>
      </c>
      <c r="F42" s="70">
        <f t="shared" si="11"/>
        <v>0.86</v>
      </c>
      <c r="G42" s="311">
        <v>44568</v>
      </c>
      <c r="H42" s="74">
        <f t="shared" si="13"/>
        <v>44568</v>
      </c>
      <c r="I42" s="324">
        <f t="shared" si="14"/>
        <v>0</v>
      </c>
      <c r="J42" s="357">
        <v>5.28E-2</v>
      </c>
      <c r="K42" s="316"/>
      <c r="L42" s="316"/>
      <c r="M42" s="72">
        <f t="shared" si="2"/>
        <v>0</v>
      </c>
    </row>
    <row r="43" spans="1:13" ht="16.5" customHeight="1" x14ac:dyDescent="0.25">
      <c r="A43" s="313"/>
      <c r="B43" s="73" t="s">
        <v>40</v>
      </c>
      <c r="C43" s="72">
        <v>17.32</v>
      </c>
      <c r="D43" s="70">
        <f t="shared" si="12"/>
        <v>17.32</v>
      </c>
      <c r="E43" s="72">
        <f t="shared" si="10"/>
        <v>0</v>
      </c>
      <c r="F43" s="70">
        <f t="shared" si="11"/>
        <v>1.3855999999999999</v>
      </c>
      <c r="G43" s="311">
        <v>44568</v>
      </c>
      <c r="H43" s="74">
        <f t="shared" si="13"/>
        <v>44568</v>
      </c>
      <c r="I43" s="324">
        <f t="shared" si="14"/>
        <v>0</v>
      </c>
      <c r="J43" s="357">
        <v>5.28E-2</v>
      </c>
      <c r="K43" s="316"/>
      <c r="L43" s="316"/>
      <c r="M43" s="72">
        <f t="shared" si="2"/>
        <v>0</v>
      </c>
    </row>
    <row r="44" spans="1:13" ht="16.5" customHeight="1" x14ac:dyDescent="0.25">
      <c r="A44" s="313"/>
      <c r="B44" s="73" t="s">
        <v>41</v>
      </c>
      <c r="C44" s="72">
        <v>6.78</v>
      </c>
      <c r="D44" s="70">
        <f t="shared" si="12"/>
        <v>6.78</v>
      </c>
      <c r="E44" s="72">
        <f t="shared" si="10"/>
        <v>0</v>
      </c>
      <c r="F44" s="70">
        <f t="shared" si="11"/>
        <v>0.54239999999999999</v>
      </c>
      <c r="G44" s="311">
        <v>44568</v>
      </c>
      <c r="H44" s="74">
        <f t="shared" si="13"/>
        <v>44568</v>
      </c>
      <c r="I44" s="324">
        <f t="shared" si="14"/>
        <v>0</v>
      </c>
      <c r="J44" s="357">
        <v>5.28E-2</v>
      </c>
      <c r="K44" s="316"/>
      <c r="L44" s="316"/>
      <c r="M44" s="72">
        <f t="shared" si="2"/>
        <v>0</v>
      </c>
    </row>
    <row r="45" spans="1:13" ht="16.5" customHeight="1" x14ac:dyDescent="0.25">
      <c r="A45" s="313"/>
      <c r="B45" s="73" t="s">
        <v>42</v>
      </c>
      <c r="C45" s="72">
        <v>1700.62</v>
      </c>
      <c r="D45" s="70">
        <v>0</v>
      </c>
      <c r="E45" s="72">
        <f t="shared" si="10"/>
        <v>1700.62</v>
      </c>
      <c r="F45" s="70">
        <f t="shared" si="11"/>
        <v>136.0496</v>
      </c>
      <c r="G45" s="311"/>
      <c r="H45" s="74">
        <f t="shared" si="13"/>
        <v>44568</v>
      </c>
      <c r="I45" s="324">
        <v>0</v>
      </c>
      <c r="J45" s="357">
        <v>5.28E-2</v>
      </c>
      <c r="K45" s="316"/>
      <c r="L45" s="316"/>
      <c r="M45" s="72">
        <f t="shared" si="2"/>
        <v>89.792735999999991</v>
      </c>
    </row>
    <row r="46" spans="1:13" ht="16.5" customHeight="1" x14ac:dyDescent="0.25">
      <c r="A46" s="313"/>
      <c r="B46" s="73" t="s">
        <v>43</v>
      </c>
      <c r="C46" s="72">
        <v>51.27</v>
      </c>
      <c r="D46" s="70">
        <f t="shared" si="12"/>
        <v>51.27</v>
      </c>
      <c r="E46" s="72">
        <f t="shared" si="10"/>
        <v>0</v>
      </c>
      <c r="F46" s="70">
        <f t="shared" si="11"/>
        <v>4.1016000000000004</v>
      </c>
      <c r="G46" s="311">
        <v>44568</v>
      </c>
      <c r="H46" s="74">
        <f t="shared" si="13"/>
        <v>44568</v>
      </c>
      <c r="I46" s="324">
        <f t="shared" si="14"/>
        <v>0</v>
      </c>
      <c r="J46" s="357">
        <v>5.28E-2</v>
      </c>
      <c r="K46" s="316"/>
      <c r="L46" s="316"/>
      <c r="M46" s="72">
        <f t="shared" si="2"/>
        <v>0</v>
      </c>
    </row>
    <row r="47" spans="1:13" ht="16.5" customHeight="1" x14ac:dyDescent="0.25">
      <c r="A47" s="313"/>
      <c r="B47" s="73" t="s">
        <v>44</v>
      </c>
      <c r="C47" s="72">
        <v>263.98</v>
      </c>
      <c r="D47" s="70">
        <f t="shared" si="12"/>
        <v>263.98</v>
      </c>
      <c r="E47" s="72">
        <f t="shared" si="10"/>
        <v>0</v>
      </c>
      <c r="F47" s="70">
        <f t="shared" si="11"/>
        <v>21.118400000000001</v>
      </c>
      <c r="G47" s="311">
        <v>44568</v>
      </c>
      <c r="H47" s="74">
        <f t="shared" si="13"/>
        <v>44568</v>
      </c>
      <c r="I47" s="324">
        <f t="shared" si="14"/>
        <v>0</v>
      </c>
      <c r="J47" s="357">
        <v>5.28E-2</v>
      </c>
      <c r="K47" s="316"/>
      <c r="L47" s="316"/>
      <c r="M47" s="72">
        <f t="shared" si="2"/>
        <v>0</v>
      </c>
    </row>
    <row r="48" spans="1:13" ht="16.5" customHeight="1" x14ac:dyDescent="0.25">
      <c r="A48" s="313"/>
      <c r="B48" s="73" t="s">
        <v>46</v>
      </c>
      <c r="C48" s="72">
        <v>10.75</v>
      </c>
      <c r="D48" s="70">
        <f t="shared" si="12"/>
        <v>10.75</v>
      </c>
      <c r="E48" s="72">
        <f t="shared" si="10"/>
        <v>0</v>
      </c>
      <c r="F48" s="70">
        <f t="shared" si="11"/>
        <v>0.86</v>
      </c>
      <c r="G48" s="311">
        <v>44568</v>
      </c>
      <c r="H48" s="74">
        <f>H47</f>
        <v>44568</v>
      </c>
      <c r="I48" s="324">
        <f t="shared" si="14"/>
        <v>0</v>
      </c>
      <c r="J48" s="357">
        <v>5.28E-2</v>
      </c>
      <c r="K48" s="316"/>
      <c r="L48" s="316"/>
      <c r="M48" s="72">
        <f t="shared" si="2"/>
        <v>0</v>
      </c>
    </row>
    <row r="49" spans="1:13" ht="16.5" customHeight="1" x14ac:dyDescent="0.25">
      <c r="A49" s="313"/>
      <c r="B49" s="73" t="s">
        <v>47</v>
      </c>
      <c r="C49" s="72">
        <v>204.14</v>
      </c>
      <c r="D49" s="70">
        <f t="shared" si="12"/>
        <v>204.14</v>
      </c>
      <c r="E49" s="72">
        <f t="shared" si="10"/>
        <v>0</v>
      </c>
      <c r="F49" s="70">
        <f t="shared" si="11"/>
        <v>16.331199999999999</v>
      </c>
      <c r="G49" s="311">
        <v>44568</v>
      </c>
      <c r="H49" s="74" t="e">
        <f>#REF!</f>
        <v>#REF!</v>
      </c>
      <c r="I49" s="324" t="e">
        <f t="shared" si="14"/>
        <v>#REF!</v>
      </c>
      <c r="J49" s="357">
        <v>5.28E-2</v>
      </c>
      <c r="K49" s="316"/>
      <c r="L49" s="316"/>
      <c r="M49" s="72">
        <f t="shared" si="2"/>
        <v>0</v>
      </c>
    </row>
    <row r="50" spans="1:13" ht="16.5" customHeight="1" x14ac:dyDescent="0.25">
      <c r="A50" s="313"/>
      <c r="B50" s="73" t="s">
        <v>49</v>
      </c>
      <c r="C50" s="72">
        <v>958.8</v>
      </c>
      <c r="D50" s="70">
        <v>0</v>
      </c>
      <c r="E50" s="72">
        <f t="shared" si="10"/>
        <v>958.8</v>
      </c>
      <c r="F50" s="70">
        <f t="shared" si="11"/>
        <v>76.703999999999994</v>
      </c>
      <c r="G50" s="311"/>
      <c r="H50" s="74">
        <f t="shared" si="13"/>
        <v>44568</v>
      </c>
      <c r="I50" s="324">
        <v>0</v>
      </c>
      <c r="J50" s="357">
        <v>5.28E-2</v>
      </c>
      <c r="K50" s="316"/>
      <c r="L50" s="316"/>
      <c r="M50" s="72">
        <f t="shared" si="2"/>
        <v>50.624639999999999</v>
      </c>
    </row>
    <row r="51" spans="1:13" ht="16.5" customHeight="1" x14ac:dyDescent="0.25">
      <c r="A51" s="313"/>
      <c r="B51" s="73" t="s">
        <v>50</v>
      </c>
      <c r="C51" s="72">
        <v>1198.57</v>
      </c>
      <c r="D51" s="70">
        <f t="shared" si="12"/>
        <v>1198.57</v>
      </c>
      <c r="E51" s="72">
        <f t="shared" si="10"/>
        <v>0</v>
      </c>
      <c r="F51" s="70">
        <f t="shared" si="11"/>
        <v>95.885599999999997</v>
      </c>
      <c r="G51" s="311">
        <v>44568</v>
      </c>
      <c r="H51" s="74" t="e">
        <f t="shared" si="13"/>
        <v>#REF!</v>
      </c>
      <c r="I51" s="324" t="e">
        <f t="shared" si="14"/>
        <v>#REF!</v>
      </c>
      <c r="J51" s="357">
        <v>5.28E-2</v>
      </c>
      <c r="K51" s="316"/>
      <c r="L51" s="316"/>
      <c r="M51" s="72">
        <f t="shared" si="2"/>
        <v>0</v>
      </c>
    </row>
    <row r="52" spans="1:13" ht="16.5" customHeight="1" x14ac:dyDescent="0.25">
      <c r="A52" s="313"/>
      <c r="B52" s="73" t="s">
        <v>51</v>
      </c>
      <c r="C52" s="72">
        <v>189.92</v>
      </c>
      <c r="D52" s="70">
        <f t="shared" si="12"/>
        <v>189.92</v>
      </c>
      <c r="E52" s="72">
        <f t="shared" si="10"/>
        <v>0</v>
      </c>
      <c r="F52" s="70">
        <f t="shared" si="11"/>
        <v>15.1936</v>
      </c>
      <c r="G52" s="311">
        <v>44568</v>
      </c>
      <c r="H52" s="74">
        <f t="shared" si="13"/>
        <v>44568</v>
      </c>
      <c r="I52" s="324">
        <f t="shared" si="14"/>
        <v>0</v>
      </c>
      <c r="J52" s="357">
        <v>5.28E-2</v>
      </c>
      <c r="K52" s="316"/>
      <c r="L52" s="316"/>
      <c r="M52" s="72">
        <f t="shared" si="2"/>
        <v>0</v>
      </c>
    </row>
    <row r="53" spans="1:13" ht="16.5" customHeight="1" x14ac:dyDescent="0.25">
      <c r="A53" s="313"/>
      <c r="B53" s="73" t="s">
        <v>52</v>
      </c>
      <c r="C53" s="72">
        <v>58.61</v>
      </c>
      <c r="D53" s="70">
        <f t="shared" si="12"/>
        <v>58.61</v>
      </c>
      <c r="E53" s="72">
        <f t="shared" si="10"/>
        <v>0</v>
      </c>
      <c r="F53" s="70">
        <f t="shared" si="11"/>
        <v>4.6887999999999996</v>
      </c>
      <c r="G53" s="311">
        <v>44568</v>
      </c>
      <c r="H53" s="74" t="e">
        <f t="shared" si="13"/>
        <v>#REF!</v>
      </c>
      <c r="I53" s="324" t="e">
        <f t="shared" si="14"/>
        <v>#REF!</v>
      </c>
      <c r="J53" s="357">
        <v>5.28E-2</v>
      </c>
      <c r="K53" s="316"/>
      <c r="L53" s="316"/>
      <c r="M53" s="72">
        <f t="shared" si="2"/>
        <v>0</v>
      </c>
    </row>
    <row r="54" spans="1:13" ht="16.5" customHeight="1" x14ac:dyDescent="0.25">
      <c r="A54" s="313"/>
      <c r="B54" s="73" t="s">
        <v>53</v>
      </c>
      <c r="C54" s="72">
        <v>2610.13</v>
      </c>
      <c r="D54" s="70">
        <v>0</v>
      </c>
      <c r="E54" s="72">
        <f t="shared" si="10"/>
        <v>2610.13</v>
      </c>
      <c r="F54" s="70">
        <f t="shared" si="11"/>
        <v>208.81040000000002</v>
      </c>
      <c r="G54" s="311"/>
      <c r="H54" s="74">
        <f t="shared" si="13"/>
        <v>44568</v>
      </c>
      <c r="I54" s="324">
        <v>0</v>
      </c>
      <c r="J54" s="357">
        <v>5.28E-2</v>
      </c>
      <c r="K54" s="316"/>
      <c r="L54" s="316"/>
      <c r="M54" s="72">
        <f t="shared" si="2"/>
        <v>137.814864</v>
      </c>
    </row>
    <row r="55" spans="1:13" ht="16.5" customHeight="1" x14ac:dyDescent="0.25">
      <c r="A55" s="313"/>
      <c r="B55" s="73" t="s">
        <v>54</v>
      </c>
      <c r="C55" s="72">
        <v>15.46</v>
      </c>
      <c r="D55" s="70">
        <f t="shared" si="12"/>
        <v>15.46</v>
      </c>
      <c r="E55" s="72">
        <f t="shared" si="10"/>
        <v>0</v>
      </c>
      <c r="F55" s="70">
        <f t="shared" si="11"/>
        <v>1.2368000000000001</v>
      </c>
      <c r="G55" s="311">
        <v>44568</v>
      </c>
      <c r="H55" s="74" t="e">
        <f t="shared" si="13"/>
        <v>#REF!</v>
      </c>
      <c r="I55" s="324">
        <v>0</v>
      </c>
      <c r="J55" s="357">
        <v>5.28E-2</v>
      </c>
      <c r="K55" s="316"/>
      <c r="L55" s="316"/>
      <c r="M55" s="72">
        <f t="shared" si="2"/>
        <v>0</v>
      </c>
    </row>
    <row r="56" spans="1:13" ht="16.5" customHeight="1" x14ac:dyDescent="0.25">
      <c r="A56" s="313"/>
      <c r="B56" s="73" t="s">
        <v>55</v>
      </c>
      <c r="C56" s="72">
        <v>7.69</v>
      </c>
      <c r="D56" s="70">
        <f t="shared" si="12"/>
        <v>7.69</v>
      </c>
      <c r="E56" s="72">
        <f t="shared" si="10"/>
        <v>0</v>
      </c>
      <c r="F56" s="70">
        <f t="shared" si="11"/>
        <v>0.61520000000000008</v>
      </c>
      <c r="G56" s="311">
        <v>44568</v>
      </c>
      <c r="H56" s="74">
        <f t="shared" si="13"/>
        <v>44568</v>
      </c>
      <c r="I56" s="324">
        <f t="shared" si="14"/>
        <v>0</v>
      </c>
      <c r="J56" s="357">
        <v>5.28E-2</v>
      </c>
      <c r="K56" s="316"/>
      <c r="L56" s="316"/>
      <c r="M56" s="72">
        <f t="shared" si="2"/>
        <v>0</v>
      </c>
    </row>
    <row r="57" spans="1:13" ht="16.5" customHeight="1" x14ac:dyDescent="0.25">
      <c r="A57" s="313"/>
      <c r="B57" s="73" t="s">
        <v>56</v>
      </c>
      <c r="C57" s="72">
        <v>128.62</v>
      </c>
      <c r="D57" s="70">
        <f t="shared" si="12"/>
        <v>128.62</v>
      </c>
      <c r="E57" s="72">
        <f t="shared" si="10"/>
        <v>0</v>
      </c>
      <c r="F57" s="70">
        <f t="shared" si="11"/>
        <v>10.2896</v>
      </c>
      <c r="G57" s="311">
        <v>44568</v>
      </c>
      <c r="H57" s="74" t="e">
        <f t="shared" si="13"/>
        <v>#REF!</v>
      </c>
      <c r="I57" s="324" t="e">
        <f t="shared" si="14"/>
        <v>#REF!</v>
      </c>
      <c r="J57" s="357">
        <v>5.28E-2</v>
      </c>
      <c r="K57" s="316"/>
      <c r="L57" s="316"/>
      <c r="M57" s="72">
        <f t="shared" si="2"/>
        <v>0</v>
      </c>
    </row>
    <row r="58" spans="1:13" ht="16.5" customHeight="1" x14ac:dyDescent="0.25">
      <c r="A58" s="313"/>
      <c r="B58" s="73" t="s">
        <v>57</v>
      </c>
      <c r="C58" s="72">
        <v>7.36</v>
      </c>
      <c r="D58" s="70">
        <f t="shared" si="12"/>
        <v>7.36</v>
      </c>
      <c r="E58" s="72">
        <f t="shared" si="10"/>
        <v>0</v>
      </c>
      <c r="F58" s="70">
        <f t="shared" si="11"/>
        <v>0.58879999999999999</v>
      </c>
      <c r="G58" s="311">
        <v>44568</v>
      </c>
      <c r="H58" s="74">
        <f t="shared" si="13"/>
        <v>44568</v>
      </c>
      <c r="I58" s="324">
        <f t="shared" si="14"/>
        <v>0</v>
      </c>
      <c r="J58" s="357">
        <v>5.28E-2</v>
      </c>
      <c r="K58" s="316"/>
      <c r="L58" s="316"/>
      <c r="M58" s="72">
        <f t="shared" si="2"/>
        <v>0</v>
      </c>
    </row>
    <row r="59" spans="1:13" ht="16.5" customHeight="1" x14ac:dyDescent="0.25">
      <c r="A59" s="313"/>
      <c r="B59" s="73" t="s">
        <v>220</v>
      </c>
      <c r="C59" s="72">
        <v>1154.01</v>
      </c>
      <c r="D59" s="70">
        <f t="shared" si="12"/>
        <v>1154.01</v>
      </c>
      <c r="E59" s="72">
        <f t="shared" si="10"/>
        <v>0</v>
      </c>
      <c r="F59" s="70">
        <f t="shared" si="11"/>
        <v>92.320800000000006</v>
      </c>
      <c r="G59" s="311">
        <v>44568</v>
      </c>
      <c r="H59" s="74" t="e">
        <f t="shared" si="13"/>
        <v>#REF!</v>
      </c>
      <c r="I59" s="324" t="e">
        <f t="shared" si="14"/>
        <v>#REF!</v>
      </c>
      <c r="J59" s="357">
        <v>5.28E-2</v>
      </c>
      <c r="K59" s="316"/>
      <c r="L59" s="316"/>
      <c r="M59" s="72">
        <f t="shared" si="2"/>
        <v>0</v>
      </c>
    </row>
    <row r="60" spans="1:13" ht="16.5" customHeight="1" x14ac:dyDescent="0.25">
      <c r="A60" s="313"/>
      <c r="B60" s="73" t="s">
        <v>122</v>
      </c>
      <c r="C60" s="72">
        <v>86.78</v>
      </c>
      <c r="D60" s="70">
        <f t="shared" si="12"/>
        <v>86.78</v>
      </c>
      <c r="E60" s="72">
        <f t="shared" si="10"/>
        <v>0</v>
      </c>
      <c r="F60" s="70">
        <f t="shared" si="11"/>
        <v>6.9424000000000001</v>
      </c>
      <c r="G60" s="311">
        <v>44568</v>
      </c>
      <c r="H60" s="74">
        <f t="shared" si="13"/>
        <v>44568</v>
      </c>
      <c r="I60" s="324">
        <f t="shared" si="14"/>
        <v>0</v>
      </c>
      <c r="J60" s="357">
        <v>5.28E-2</v>
      </c>
      <c r="K60" s="316"/>
      <c r="L60" s="316"/>
      <c r="M60" s="72">
        <f t="shared" si="2"/>
        <v>0</v>
      </c>
    </row>
    <row r="61" spans="1:13" ht="16.5" customHeight="1" x14ac:dyDescent="0.25">
      <c r="A61" s="313"/>
      <c r="B61" s="73" t="s">
        <v>4</v>
      </c>
      <c r="C61" s="72">
        <v>394.27</v>
      </c>
      <c r="D61" s="70">
        <f t="shared" si="12"/>
        <v>394.27</v>
      </c>
      <c r="E61" s="72">
        <f t="shared" si="10"/>
        <v>0</v>
      </c>
      <c r="F61" s="70">
        <f t="shared" si="11"/>
        <v>31.541599999999999</v>
      </c>
      <c r="G61" s="311">
        <v>44568</v>
      </c>
      <c r="H61" s="74" t="e">
        <f t="shared" si="13"/>
        <v>#REF!</v>
      </c>
      <c r="I61" s="324" t="e">
        <f t="shared" si="14"/>
        <v>#REF!</v>
      </c>
      <c r="J61" s="357">
        <v>5.28E-2</v>
      </c>
      <c r="K61" s="316"/>
      <c r="L61" s="316"/>
      <c r="M61" s="72">
        <f t="shared" si="2"/>
        <v>0</v>
      </c>
    </row>
    <row r="62" spans="1:13" ht="16.5" customHeight="1" x14ac:dyDescent="0.25">
      <c r="A62" s="313"/>
      <c r="B62" s="73" t="s">
        <v>58</v>
      </c>
      <c r="C62" s="72">
        <v>8.25</v>
      </c>
      <c r="D62" s="70">
        <f t="shared" si="12"/>
        <v>8.25</v>
      </c>
      <c r="E62" s="72">
        <f t="shared" si="10"/>
        <v>0</v>
      </c>
      <c r="F62" s="70">
        <f t="shared" si="11"/>
        <v>0.66</v>
      </c>
      <c r="G62" s="311">
        <v>44568</v>
      </c>
      <c r="H62" s="74">
        <f t="shared" si="13"/>
        <v>44568</v>
      </c>
      <c r="I62" s="324">
        <f t="shared" si="14"/>
        <v>0</v>
      </c>
      <c r="J62" s="357">
        <v>5.28E-2</v>
      </c>
      <c r="K62" s="316"/>
      <c r="L62" s="316"/>
      <c r="M62" s="72">
        <f t="shared" si="2"/>
        <v>0</v>
      </c>
    </row>
    <row r="63" spans="1:13" ht="16.5" customHeight="1" x14ac:dyDescent="0.25">
      <c r="A63" s="313"/>
      <c r="B63" s="73" t="s">
        <v>59</v>
      </c>
      <c r="C63" s="72">
        <v>69.25</v>
      </c>
      <c r="D63" s="70">
        <f t="shared" si="12"/>
        <v>69.25</v>
      </c>
      <c r="E63" s="72">
        <f t="shared" si="10"/>
        <v>0</v>
      </c>
      <c r="F63" s="70">
        <f t="shared" si="11"/>
        <v>5.54</v>
      </c>
      <c r="G63" s="311">
        <v>44568</v>
      </c>
      <c r="H63" s="74" t="e">
        <f t="shared" si="13"/>
        <v>#REF!</v>
      </c>
      <c r="I63" s="324" t="e">
        <f t="shared" si="14"/>
        <v>#REF!</v>
      </c>
      <c r="J63" s="357">
        <v>5.28E-2</v>
      </c>
      <c r="K63" s="316"/>
      <c r="L63" s="316"/>
      <c r="M63" s="72">
        <f t="shared" si="2"/>
        <v>0</v>
      </c>
    </row>
    <row r="64" spans="1:13" ht="16.5" customHeight="1" x14ac:dyDescent="0.25">
      <c r="A64" s="313"/>
      <c r="B64" s="73" t="s">
        <v>62</v>
      </c>
      <c r="C64" s="72">
        <v>5.0599999999999996</v>
      </c>
      <c r="D64" s="70">
        <f t="shared" si="12"/>
        <v>5.0599999999999996</v>
      </c>
      <c r="E64" s="72">
        <f t="shared" si="10"/>
        <v>0</v>
      </c>
      <c r="F64" s="70">
        <f t="shared" si="11"/>
        <v>0.40479999999999999</v>
      </c>
      <c r="G64" s="311">
        <v>44568</v>
      </c>
      <c r="H64" s="74">
        <f t="shared" si="13"/>
        <v>44568</v>
      </c>
      <c r="I64" s="324">
        <f t="shared" si="14"/>
        <v>0</v>
      </c>
      <c r="J64" s="357">
        <v>5.28E-2</v>
      </c>
      <c r="K64" s="316"/>
      <c r="L64" s="316"/>
      <c r="M64" s="72">
        <f t="shared" si="2"/>
        <v>0</v>
      </c>
    </row>
    <row r="65" spans="1:13" ht="16.5" customHeight="1" x14ac:dyDescent="0.25">
      <c r="A65" s="313"/>
      <c r="B65" s="73" t="s">
        <v>63</v>
      </c>
      <c r="C65" s="72">
        <v>52.82</v>
      </c>
      <c r="D65" s="70">
        <f t="shared" si="12"/>
        <v>52.82</v>
      </c>
      <c r="E65" s="72">
        <f t="shared" si="10"/>
        <v>0</v>
      </c>
      <c r="F65" s="70">
        <f t="shared" si="11"/>
        <v>4.2256</v>
      </c>
      <c r="G65" s="311">
        <v>44568</v>
      </c>
      <c r="H65" s="74" t="e">
        <f t="shared" si="13"/>
        <v>#REF!</v>
      </c>
      <c r="I65" s="324" t="e">
        <f t="shared" si="14"/>
        <v>#REF!</v>
      </c>
      <c r="J65" s="357">
        <v>5.28E-2</v>
      </c>
      <c r="K65" s="316"/>
      <c r="L65" s="316"/>
      <c r="M65" s="72">
        <f t="shared" si="2"/>
        <v>0</v>
      </c>
    </row>
    <row r="66" spans="1:13" ht="16.5" customHeight="1" x14ac:dyDescent="0.25">
      <c r="A66" s="313"/>
      <c r="B66" s="73" t="s">
        <v>64</v>
      </c>
      <c r="C66" s="72">
        <v>19.14</v>
      </c>
      <c r="D66" s="70">
        <f t="shared" si="12"/>
        <v>19.14</v>
      </c>
      <c r="E66" s="72">
        <f t="shared" si="10"/>
        <v>0</v>
      </c>
      <c r="F66" s="70">
        <f t="shared" si="11"/>
        <v>1.5312000000000001</v>
      </c>
      <c r="G66" s="311">
        <v>44568</v>
      </c>
      <c r="H66" s="74">
        <f t="shared" si="13"/>
        <v>44568</v>
      </c>
      <c r="I66" s="324">
        <f t="shared" si="14"/>
        <v>0</v>
      </c>
      <c r="J66" s="357">
        <v>5.28E-2</v>
      </c>
      <c r="K66" s="316"/>
      <c r="L66" s="316"/>
      <c r="M66" s="72">
        <f t="shared" si="2"/>
        <v>0</v>
      </c>
    </row>
    <row r="67" spans="1:13" ht="16.5" customHeight="1" x14ac:dyDescent="0.25">
      <c r="A67" s="313"/>
      <c r="B67" s="73" t="s">
        <v>65</v>
      </c>
      <c r="C67" s="72">
        <v>560.01</v>
      </c>
      <c r="D67" s="70">
        <f t="shared" si="12"/>
        <v>560.01</v>
      </c>
      <c r="E67" s="72">
        <f t="shared" si="10"/>
        <v>0</v>
      </c>
      <c r="F67" s="70">
        <f t="shared" si="11"/>
        <v>44.800800000000002</v>
      </c>
      <c r="G67" s="311">
        <v>44568</v>
      </c>
      <c r="H67" s="74" t="e">
        <f t="shared" si="13"/>
        <v>#REF!</v>
      </c>
      <c r="I67" s="324">
        <v>0</v>
      </c>
      <c r="J67" s="357">
        <v>5.28E-2</v>
      </c>
      <c r="K67" s="316"/>
      <c r="L67" s="316"/>
      <c r="M67" s="72">
        <f t="shared" si="2"/>
        <v>0</v>
      </c>
    </row>
    <row r="68" spans="1:13" ht="16.5" customHeight="1" x14ac:dyDescent="0.25">
      <c r="A68" s="313"/>
      <c r="B68" s="73" t="s">
        <v>66</v>
      </c>
      <c r="C68" s="72">
        <v>1469.11</v>
      </c>
      <c r="D68" s="70">
        <v>0</v>
      </c>
      <c r="E68" s="72">
        <f t="shared" si="10"/>
        <v>1469.11</v>
      </c>
      <c r="F68" s="70">
        <f t="shared" si="11"/>
        <v>117.52879999999999</v>
      </c>
      <c r="G68" s="311"/>
      <c r="H68" s="74">
        <f t="shared" si="13"/>
        <v>44568</v>
      </c>
      <c r="I68" s="324">
        <v>0</v>
      </c>
      <c r="J68" s="357">
        <v>5.28E-2</v>
      </c>
      <c r="K68" s="316"/>
      <c r="L68" s="316"/>
      <c r="M68" s="72">
        <f t="shared" si="2"/>
        <v>77.569007999999997</v>
      </c>
    </row>
    <row r="69" spans="1:13" ht="16.5" customHeight="1" x14ac:dyDescent="0.25">
      <c r="A69" s="313"/>
      <c r="B69" s="73" t="s">
        <v>67</v>
      </c>
      <c r="C69" s="72">
        <v>82.68</v>
      </c>
      <c r="D69" s="70">
        <f t="shared" si="12"/>
        <v>82.68</v>
      </c>
      <c r="E69" s="72">
        <f t="shared" si="10"/>
        <v>0</v>
      </c>
      <c r="F69" s="70">
        <f t="shared" si="11"/>
        <v>6.6144000000000007</v>
      </c>
      <c r="G69" s="311">
        <v>44568</v>
      </c>
      <c r="H69" s="74" t="e">
        <f t="shared" si="13"/>
        <v>#REF!</v>
      </c>
      <c r="I69" s="324">
        <v>0</v>
      </c>
      <c r="J69" s="357">
        <v>5.28E-2</v>
      </c>
      <c r="K69" s="316"/>
      <c r="L69" s="316"/>
      <c r="M69" s="72">
        <f t="shared" ref="M69:M98" si="15">SUM(E69)*J69</f>
        <v>0</v>
      </c>
    </row>
    <row r="70" spans="1:13" ht="16.5" customHeight="1" x14ac:dyDescent="0.25">
      <c r="A70" s="313"/>
      <c r="B70" s="73" t="s">
        <v>109</v>
      </c>
      <c r="C70" s="72">
        <v>54.12</v>
      </c>
      <c r="D70" s="70">
        <f t="shared" si="12"/>
        <v>54.12</v>
      </c>
      <c r="E70" s="72">
        <f t="shared" si="10"/>
        <v>0</v>
      </c>
      <c r="F70" s="70">
        <f t="shared" si="11"/>
        <v>4.3296000000000001</v>
      </c>
      <c r="G70" s="311">
        <v>44568</v>
      </c>
      <c r="H70" s="74">
        <f t="shared" si="13"/>
        <v>44568</v>
      </c>
      <c r="I70" s="324">
        <v>0</v>
      </c>
      <c r="J70" s="357">
        <v>5.28E-2</v>
      </c>
      <c r="K70" s="316"/>
      <c r="L70" s="316"/>
      <c r="M70" s="72">
        <f t="shared" si="15"/>
        <v>0</v>
      </c>
    </row>
    <row r="71" spans="1:13" ht="16.5" customHeight="1" x14ac:dyDescent="0.25">
      <c r="A71" s="313"/>
      <c r="B71" s="73" t="s">
        <v>69</v>
      </c>
      <c r="C71" s="72">
        <v>336.94</v>
      </c>
      <c r="D71" s="70">
        <f t="shared" si="12"/>
        <v>336.94</v>
      </c>
      <c r="E71" s="72">
        <f t="shared" si="10"/>
        <v>0</v>
      </c>
      <c r="F71" s="70">
        <f t="shared" si="11"/>
        <v>26.955200000000001</v>
      </c>
      <c r="G71" s="311">
        <v>44568</v>
      </c>
      <c r="H71" s="74" t="e">
        <f t="shared" si="13"/>
        <v>#REF!</v>
      </c>
      <c r="I71" s="324">
        <v>0</v>
      </c>
      <c r="J71" s="357">
        <v>5.28E-2</v>
      </c>
      <c r="K71" s="316"/>
      <c r="L71" s="316"/>
      <c r="M71" s="72">
        <f t="shared" si="15"/>
        <v>0</v>
      </c>
    </row>
    <row r="72" spans="1:13" ht="16.5" customHeight="1" x14ac:dyDescent="0.25">
      <c r="A72" s="313"/>
      <c r="B72" s="73" t="s">
        <v>72</v>
      </c>
      <c r="C72" s="72">
        <v>59.52</v>
      </c>
      <c r="D72" s="70">
        <v>0</v>
      </c>
      <c r="E72" s="72">
        <f t="shared" si="10"/>
        <v>59.52</v>
      </c>
      <c r="F72" s="70">
        <f t="shared" si="11"/>
        <v>4.7616000000000005</v>
      </c>
      <c r="G72" s="76"/>
      <c r="H72" s="74">
        <f t="shared" si="13"/>
        <v>44568</v>
      </c>
      <c r="I72" s="324">
        <v>0</v>
      </c>
      <c r="J72" s="357">
        <v>5.28E-2</v>
      </c>
      <c r="K72" s="316"/>
      <c r="L72" s="316"/>
      <c r="M72" s="72">
        <f t="shared" si="15"/>
        <v>3.1426560000000001</v>
      </c>
    </row>
    <row r="73" spans="1:13" ht="16.5" customHeight="1" x14ac:dyDescent="0.25">
      <c r="A73" s="313"/>
      <c r="B73" s="73" t="s">
        <v>73</v>
      </c>
      <c r="C73" s="72">
        <v>816.26</v>
      </c>
      <c r="D73" s="70">
        <f t="shared" si="12"/>
        <v>816.26</v>
      </c>
      <c r="E73" s="72">
        <f t="shared" si="10"/>
        <v>0</v>
      </c>
      <c r="F73" s="70">
        <f t="shared" si="11"/>
        <v>65.300799999999995</v>
      </c>
      <c r="G73" s="311">
        <v>44568</v>
      </c>
      <c r="H73" s="74" t="e">
        <f t="shared" si="13"/>
        <v>#REF!</v>
      </c>
      <c r="I73" s="324">
        <v>0</v>
      </c>
      <c r="J73" s="357">
        <v>5.28E-2</v>
      </c>
      <c r="K73" s="316"/>
      <c r="L73" s="316"/>
      <c r="M73" s="72">
        <f t="shared" si="15"/>
        <v>0</v>
      </c>
    </row>
    <row r="74" spans="1:13" ht="16.5" customHeight="1" x14ac:dyDescent="0.25">
      <c r="A74" s="313"/>
      <c r="B74" s="73" t="s">
        <v>74</v>
      </c>
      <c r="C74" s="72">
        <v>3556.52</v>
      </c>
      <c r="D74" s="70">
        <v>0</v>
      </c>
      <c r="E74" s="72">
        <f t="shared" si="10"/>
        <v>3556.52</v>
      </c>
      <c r="F74" s="70">
        <f t="shared" si="11"/>
        <v>284.52159999999998</v>
      </c>
      <c r="G74" s="76"/>
      <c r="H74" s="74">
        <f t="shared" si="13"/>
        <v>44568</v>
      </c>
      <c r="I74" s="324">
        <v>0</v>
      </c>
      <c r="J74" s="357">
        <v>5.28E-2</v>
      </c>
      <c r="K74" s="316"/>
      <c r="L74" s="316"/>
      <c r="M74" s="72">
        <f t="shared" si="15"/>
        <v>187.784256</v>
      </c>
    </row>
    <row r="75" spans="1:13" ht="16.5" customHeight="1" x14ac:dyDescent="0.25">
      <c r="A75" s="313"/>
      <c r="B75" s="73" t="s">
        <v>10</v>
      </c>
      <c r="C75" s="72">
        <v>118.18</v>
      </c>
      <c r="D75" s="70">
        <f t="shared" si="12"/>
        <v>118.18</v>
      </c>
      <c r="E75" s="72">
        <f t="shared" si="10"/>
        <v>0</v>
      </c>
      <c r="F75" s="70">
        <f t="shared" si="11"/>
        <v>9.4544000000000015</v>
      </c>
      <c r="G75" s="311">
        <v>44568</v>
      </c>
      <c r="H75" s="74" t="e">
        <f t="shared" si="13"/>
        <v>#REF!</v>
      </c>
      <c r="I75" s="324">
        <v>0</v>
      </c>
      <c r="J75" s="357">
        <v>5.28E-2</v>
      </c>
      <c r="K75" s="316"/>
      <c r="L75" s="316"/>
      <c r="M75" s="72">
        <f t="shared" si="15"/>
        <v>0</v>
      </c>
    </row>
    <row r="76" spans="1:13" ht="16.5" customHeight="1" x14ac:dyDescent="0.25">
      <c r="A76" s="313"/>
      <c r="B76" s="73" t="s">
        <v>77</v>
      </c>
      <c r="C76" s="72">
        <v>1945.7</v>
      </c>
      <c r="D76" s="70">
        <v>0</v>
      </c>
      <c r="E76" s="72">
        <f t="shared" si="10"/>
        <v>1945.7</v>
      </c>
      <c r="F76" s="70">
        <f t="shared" si="11"/>
        <v>155.65600000000001</v>
      </c>
      <c r="G76" s="76"/>
      <c r="H76" s="74">
        <f t="shared" si="13"/>
        <v>44568</v>
      </c>
      <c r="I76" s="324">
        <v>0</v>
      </c>
      <c r="J76" s="357">
        <v>5.28E-2</v>
      </c>
      <c r="K76" s="316"/>
      <c r="L76" s="316"/>
      <c r="M76" s="72">
        <f t="shared" si="15"/>
        <v>102.73296000000001</v>
      </c>
    </row>
    <row r="77" spans="1:13" ht="16.5" customHeight="1" x14ac:dyDescent="0.25">
      <c r="A77" s="313"/>
      <c r="B77" s="73" t="s">
        <v>78</v>
      </c>
      <c r="C77" s="72">
        <v>2325.7600000000002</v>
      </c>
      <c r="D77" s="70">
        <v>0</v>
      </c>
      <c r="E77" s="72">
        <f t="shared" si="10"/>
        <v>2325.7600000000002</v>
      </c>
      <c r="F77" s="70">
        <f t="shared" si="11"/>
        <v>186.06080000000003</v>
      </c>
      <c r="G77" s="76"/>
      <c r="H77" s="74" t="e">
        <f t="shared" si="13"/>
        <v>#REF!</v>
      </c>
      <c r="I77" s="324">
        <v>0</v>
      </c>
      <c r="J77" s="357">
        <v>5.28E-2</v>
      </c>
      <c r="K77" s="316"/>
      <c r="L77" s="316"/>
      <c r="M77" s="72">
        <f t="shared" si="15"/>
        <v>122.80012800000002</v>
      </c>
    </row>
    <row r="78" spans="1:13" ht="16.5" customHeight="1" x14ac:dyDescent="0.25">
      <c r="A78" s="313"/>
      <c r="B78" s="73" t="s">
        <v>79</v>
      </c>
      <c r="C78" s="72">
        <v>1661.5</v>
      </c>
      <c r="D78" s="70">
        <f t="shared" si="12"/>
        <v>1661.5</v>
      </c>
      <c r="E78" s="72">
        <f t="shared" si="10"/>
        <v>0</v>
      </c>
      <c r="F78" s="70">
        <f t="shared" si="11"/>
        <v>132.92000000000002</v>
      </c>
      <c r="G78" s="311">
        <v>44568</v>
      </c>
      <c r="H78" s="74">
        <f t="shared" si="13"/>
        <v>44568</v>
      </c>
      <c r="I78" s="324">
        <v>0</v>
      </c>
      <c r="J78" s="357">
        <v>5.28E-2</v>
      </c>
      <c r="K78" s="316"/>
      <c r="L78" s="316"/>
      <c r="M78" s="72">
        <f t="shared" si="15"/>
        <v>0</v>
      </c>
    </row>
    <row r="79" spans="1:13" ht="16.5" customHeight="1" x14ac:dyDescent="0.25">
      <c r="A79" s="313"/>
      <c r="B79" s="73" t="s">
        <v>80</v>
      </c>
      <c r="C79" s="72">
        <v>2220.87</v>
      </c>
      <c r="D79" s="70">
        <v>0</v>
      </c>
      <c r="E79" s="72">
        <f t="shared" si="10"/>
        <v>2220.87</v>
      </c>
      <c r="F79" s="70">
        <f t="shared" si="11"/>
        <v>177.6696</v>
      </c>
      <c r="G79" s="76"/>
      <c r="H79" s="74" t="e">
        <f t="shared" si="13"/>
        <v>#REF!</v>
      </c>
      <c r="I79" s="324">
        <v>0</v>
      </c>
      <c r="J79" s="357">
        <v>5.28E-2</v>
      </c>
      <c r="K79" s="316"/>
      <c r="L79" s="316"/>
      <c r="M79" s="72">
        <f t="shared" si="15"/>
        <v>117.26193599999999</v>
      </c>
    </row>
    <row r="80" spans="1:13" ht="16.5" customHeight="1" x14ac:dyDescent="0.25">
      <c r="A80" s="313"/>
      <c r="B80" s="73" t="s">
        <v>81</v>
      </c>
      <c r="C80" s="72">
        <v>2492.58</v>
      </c>
      <c r="D80" s="70">
        <f t="shared" si="12"/>
        <v>2492.58</v>
      </c>
      <c r="E80" s="72">
        <f t="shared" si="10"/>
        <v>0</v>
      </c>
      <c r="F80" s="70">
        <f t="shared" si="11"/>
        <v>199.40639999999999</v>
      </c>
      <c r="G80" s="311">
        <v>44568</v>
      </c>
      <c r="H80" s="74">
        <f t="shared" si="13"/>
        <v>44568</v>
      </c>
      <c r="I80" s="324">
        <v>0</v>
      </c>
      <c r="J80" s="357">
        <v>5.28E-2</v>
      </c>
      <c r="K80" s="316"/>
      <c r="L80" s="316"/>
      <c r="M80" s="72">
        <f t="shared" si="15"/>
        <v>0</v>
      </c>
    </row>
    <row r="81" spans="1:13" ht="16.5" customHeight="1" x14ac:dyDescent="0.25">
      <c r="A81" s="313"/>
      <c r="B81" s="73" t="s">
        <v>82</v>
      </c>
      <c r="C81" s="72">
        <v>1128.5899999999999</v>
      </c>
      <c r="D81" s="70">
        <v>0</v>
      </c>
      <c r="E81" s="72">
        <f t="shared" si="10"/>
        <v>1128.5899999999999</v>
      </c>
      <c r="F81" s="70">
        <f t="shared" si="11"/>
        <v>90.287199999999999</v>
      </c>
      <c r="G81" s="76"/>
      <c r="H81" s="74" t="e">
        <f t="shared" si="13"/>
        <v>#REF!</v>
      </c>
      <c r="I81" s="324">
        <v>0</v>
      </c>
      <c r="J81" s="357">
        <v>5.28E-2</v>
      </c>
      <c r="K81" s="316"/>
      <c r="L81" s="316"/>
      <c r="M81" s="72">
        <f t="shared" si="15"/>
        <v>59.589551999999998</v>
      </c>
    </row>
    <row r="82" spans="1:13" ht="16.5" customHeight="1" x14ac:dyDescent="0.25">
      <c r="A82" s="313"/>
      <c r="B82" s="73" t="s">
        <v>112</v>
      </c>
      <c r="C82" s="72">
        <v>10.66</v>
      </c>
      <c r="D82" s="70">
        <f t="shared" si="12"/>
        <v>10.66</v>
      </c>
      <c r="E82" s="72">
        <f t="shared" si="10"/>
        <v>0</v>
      </c>
      <c r="F82" s="70">
        <f t="shared" si="11"/>
        <v>0.8528</v>
      </c>
      <c r="G82" s="311">
        <v>44568</v>
      </c>
      <c r="H82" s="74">
        <f t="shared" si="13"/>
        <v>44568</v>
      </c>
      <c r="I82" s="324">
        <f t="shared" si="14"/>
        <v>0</v>
      </c>
      <c r="J82" s="357">
        <v>5.28E-2</v>
      </c>
      <c r="K82" s="316"/>
      <c r="L82" s="316"/>
      <c r="M82" s="72">
        <f t="shared" si="15"/>
        <v>0</v>
      </c>
    </row>
    <row r="83" spans="1:13" ht="16.5" customHeight="1" x14ac:dyDescent="0.25">
      <c r="A83" s="313"/>
      <c r="B83" s="73" t="s">
        <v>85</v>
      </c>
      <c r="C83" s="72">
        <v>12.31</v>
      </c>
      <c r="D83" s="70">
        <f t="shared" si="12"/>
        <v>12.31</v>
      </c>
      <c r="E83" s="72">
        <f t="shared" si="10"/>
        <v>0</v>
      </c>
      <c r="F83" s="70">
        <f t="shared" si="11"/>
        <v>0.98480000000000001</v>
      </c>
      <c r="G83" s="311">
        <v>44568</v>
      </c>
      <c r="H83" s="74" t="e">
        <f t="shared" si="13"/>
        <v>#REF!</v>
      </c>
      <c r="I83" s="324" t="e">
        <f t="shared" si="14"/>
        <v>#REF!</v>
      </c>
      <c r="J83" s="357">
        <v>5.28E-2</v>
      </c>
      <c r="K83" s="316"/>
      <c r="L83" s="316"/>
      <c r="M83" s="72">
        <f t="shared" si="15"/>
        <v>0</v>
      </c>
    </row>
    <row r="84" spans="1:13" ht="16.5" customHeight="1" x14ac:dyDescent="0.25">
      <c r="A84" s="313"/>
      <c r="B84" s="73" t="s">
        <v>87</v>
      </c>
      <c r="C84" s="72">
        <v>2.54</v>
      </c>
      <c r="D84" s="70">
        <f t="shared" si="12"/>
        <v>2.54</v>
      </c>
      <c r="E84" s="72">
        <f t="shared" si="10"/>
        <v>0</v>
      </c>
      <c r="F84" s="70">
        <f t="shared" si="11"/>
        <v>0.20320000000000002</v>
      </c>
      <c r="G84" s="311">
        <v>44568</v>
      </c>
      <c r="H84" s="74">
        <f t="shared" si="13"/>
        <v>44568</v>
      </c>
      <c r="I84" s="324">
        <f t="shared" si="14"/>
        <v>0</v>
      </c>
      <c r="J84" s="357">
        <v>5.28E-2</v>
      </c>
      <c r="K84" s="316"/>
      <c r="L84" s="316"/>
      <c r="M84" s="72">
        <f t="shared" si="15"/>
        <v>0</v>
      </c>
    </row>
    <row r="85" spans="1:13" ht="16.5" customHeight="1" x14ac:dyDescent="0.25">
      <c r="A85" s="313"/>
      <c r="B85" s="73" t="s">
        <v>88</v>
      </c>
      <c r="C85" s="72">
        <v>102.54</v>
      </c>
      <c r="D85" s="70">
        <f t="shared" si="12"/>
        <v>102.54</v>
      </c>
      <c r="E85" s="72">
        <f t="shared" si="10"/>
        <v>0</v>
      </c>
      <c r="F85" s="70">
        <f t="shared" si="11"/>
        <v>8.2032000000000007</v>
      </c>
      <c r="G85" s="311">
        <v>44568</v>
      </c>
      <c r="H85" s="74" t="e">
        <f t="shared" si="13"/>
        <v>#REF!</v>
      </c>
      <c r="I85" s="324" t="e">
        <f t="shared" si="14"/>
        <v>#REF!</v>
      </c>
      <c r="J85" s="357">
        <v>5.28E-2</v>
      </c>
      <c r="K85" s="316"/>
      <c r="L85" s="316"/>
      <c r="M85" s="72">
        <f t="shared" si="15"/>
        <v>0</v>
      </c>
    </row>
    <row r="86" spans="1:13" ht="16.5" customHeight="1" x14ac:dyDescent="0.25">
      <c r="A86" s="313"/>
      <c r="B86" s="73" t="s">
        <v>89</v>
      </c>
      <c r="C86" s="72">
        <v>58.13</v>
      </c>
      <c r="D86" s="70">
        <f t="shared" si="12"/>
        <v>58.13</v>
      </c>
      <c r="E86" s="72">
        <f t="shared" si="10"/>
        <v>0</v>
      </c>
      <c r="F86" s="70">
        <f t="shared" si="11"/>
        <v>4.6504000000000003</v>
      </c>
      <c r="G86" s="311">
        <v>44568</v>
      </c>
      <c r="H86" s="74">
        <f t="shared" si="13"/>
        <v>44568</v>
      </c>
      <c r="I86" s="324">
        <f t="shared" si="14"/>
        <v>0</v>
      </c>
      <c r="J86" s="357">
        <v>5.28E-2</v>
      </c>
      <c r="K86" s="316"/>
      <c r="L86" s="316"/>
      <c r="M86" s="72">
        <f t="shared" si="15"/>
        <v>0</v>
      </c>
    </row>
    <row r="87" spans="1:13" ht="16.5" customHeight="1" x14ac:dyDescent="0.25">
      <c r="A87" s="313"/>
      <c r="B87" s="73" t="s">
        <v>113</v>
      </c>
      <c r="C87" s="72">
        <v>385.38</v>
      </c>
      <c r="D87" s="70">
        <f t="shared" si="12"/>
        <v>385.38</v>
      </c>
      <c r="E87" s="72">
        <f t="shared" si="10"/>
        <v>0</v>
      </c>
      <c r="F87" s="70">
        <f t="shared" si="11"/>
        <v>30.830400000000001</v>
      </c>
      <c r="G87" s="311">
        <v>44568</v>
      </c>
      <c r="H87" s="74" t="e">
        <f t="shared" si="13"/>
        <v>#REF!</v>
      </c>
      <c r="I87" s="324" t="e">
        <f t="shared" si="14"/>
        <v>#REF!</v>
      </c>
      <c r="J87" s="357">
        <v>5.28E-2</v>
      </c>
      <c r="K87" s="316"/>
      <c r="L87" s="316"/>
      <c r="M87" s="72">
        <f t="shared" si="15"/>
        <v>0</v>
      </c>
    </row>
    <row r="88" spans="1:13" ht="16.5" customHeight="1" x14ac:dyDescent="0.25">
      <c r="A88" s="313"/>
      <c r="B88" s="73" t="s">
        <v>90</v>
      </c>
      <c r="C88" s="72">
        <v>13.19</v>
      </c>
      <c r="D88" s="70">
        <f t="shared" si="12"/>
        <v>13.19</v>
      </c>
      <c r="E88" s="72">
        <f t="shared" si="10"/>
        <v>0</v>
      </c>
      <c r="F88" s="70">
        <f t="shared" si="11"/>
        <v>1.0551999999999999</v>
      </c>
      <c r="G88" s="311">
        <v>44568</v>
      </c>
      <c r="H88" s="74">
        <f t="shared" si="13"/>
        <v>44568</v>
      </c>
      <c r="I88" s="324">
        <f t="shared" si="14"/>
        <v>0</v>
      </c>
      <c r="J88" s="357">
        <v>5.28E-2</v>
      </c>
      <c r="K88" s="316"/>
      <c r="L88" s="316"/>
      <c r="M88" s="72">
        <f t="shared" si="15"/>
        <v>0</v>
      </c>
    </row>
    <row r="89" spans="1:13" ht="16.5" customHeight="1" x14ac:dyDescent="0.25">
      <c r="A89" s="313"/>
      <c r="B89" s="73" t="s">
        <v>93</v>
      </c>
      <c r="C89" s="72">
        <v>51.27</v>
      </c>
      <c r="D89" s="70">
        <f t="shared" si="12"/>
        <v>51.27</v>
      </c>
      <c r="E89" s="72">
        <f t="shared" si="10"/>
        <v>0</v>
      </c>
      <c r="F89" s="70">
        <f t="shared" si="11"/>
        <v>4.1016000000000004</v>
      </c>
      <c r="G89" s="311">
        <v>44568</v>
      </c>
      <c r="H89" s="74" t="e">
        <f t="shared" si="13"/>
        <v>#REF!</v>
      </c>
      <c r="I89" s="324" t="e">
        <f t="shared" si="14"/>
        <v>#REF!</v>
      </c>
      <c r="J89" s="357">
        <v>5.28E-2</v>
      </c>
      <c r="K89" s="316"/>
      <c r="L89" s="316"/>
      <c r="M89" s="72">
        <f t="shared" si="15"/>
        <v>0</v>
      </c>
    </row>
    <row r="90" spans="1:13" ht="16.5" customHeight="1" x14ac:dyDescent="0.25">
      <c r="A90" s="313"/>
      <c r="B90" s="73" t="s">
        <v>94</v>
      </c>
      <c r="C90" s="72">
        <v>2031</v>
      </c>
      <c r="D90" s="70">
        <v>0</v>
      </c>
      <c r="E90" s="72">
        <f t="shared" si="10"/>
        <v>2031</v>
      </c>
      <c r="F90" s="70">
        <f t="shared" si="11"/>
        <v>162.47999999999999</v>
      </c>
      <c r="G90" s="76"/>
      <c r="H90" s="74">
        <f t="shared" si="13"/>
        <v>44568</v>
      </c>
      <c r="I90" s="324">
        <v>0</v>
      </c>
      <c r="J90" s="357">
        <v>5.28E-2</v>
      </c>
      <c r="K90" s="316"/>
      <c r="L90" s="316"/>
      <c r="M90" s="72">
        <f t="shared" si="15"/>
        <v>107.2368</v>
      </c>
    </row>
    <row r="91" spans="1:13" ht="16.5" customHeight="1" x14ac:dyDescent="0.25">
      <c r="A91" s="313"/>
      <c r="B91" s="73" t="s">
        <v>95</v>
      </c>
      <c r="C91" s="72">
        <v>1079.67</v>
      </c>
      <c r="D91" s="70">
        <v>0</v>
      </c>
      <c r="E91" s="72">
        <f t="shared" si="10"/>
        <v>1079.67</v>
      </c>
      <c r="F91" s="70">
        <f t="shared" si="11"/>
        <v>86.37360000000001</v>
      </c>
      <c r="G91" s="76"/>
      <c r="H91" s="74" t="e">
        <f t="shared" si="13"/>
        <v>#REF!</v>
      </c>
      <c r="I91" s="324">
        <v>0</v>
      </c>
      <c r="J91" s="357">
        <v>5.28E-2</v>
      </c>
      <c r="K91" s="316"/>
      <c r="L91" s="316"/>
      <c r="M91" s="72">
        <f t="shared" si="15"/>
        <v>57.006576000000003</v>
      </c>
    </row>
    <row r="92" spans="1:13" ht="16.5" customHeight="1" x14ac:dyDescent="0.25">
      <c r="A92" s="313"/>
      <c r="B92" s="73" t="s">
        <v>223</v>
      </c>
      <c r="C92" s="72">
        <v>743.8</v>
      </c>
      <c r="D92" s="70">
        <f t="shared" si="12"/>
        <v>743.8</v>
      </c>
      <c r="E92" s="72">
        <f t="shared" si="10"/>
        <v>0</v>
      </c>
      <c r="F92" s="70">
        <f t="shared" si="11"/>
        <v>59.503999999999998</v>
      </c>
      <c r="G92" s="311">
        <v>44568</v>
      </c>
      <c r="H92" s="74">
        <f t="shared" si="13"/>
        <v>44568</v>
      </c>
      <c r="I92" s="324">
        <f t="shared" si="14"/>
        <v>0</v>
      </c>
      <c r="J92" s="357">
        <v>5.28E-2</v>
      </c>
      <c r="K92" s="316"/>
      <c r="L92" s="316"/>
      <c r="M92" s="72">
        <f t="shared" si="15"/>
        <v>0</v>
      </c>
    </row>
    <row r="93" spans="1:13" ht="16.5" customHeight="1" x14ac:dyDescent="0.25">
      <c r="A93" s="313"/>
      <c r="B93" s="73" t="s">
        <v>15</v>
      </c>
      <c r="C93" s="72">
        <v>11.36</v>
      </c>
      <c r="D93" s="70">
        <f t="shared" si="12"/>
        <v>11.36</v>
      </c>
      <c r="E93" s="72">
        <f t="shared" si="10"/>
        <v>0</v>
      </c>
      <c r="F93" s="70">
        <f t="shared" si="11"/>
        <v>0.90879999999999994</v>
      </c>
      <c r="G93" s="311">
        <v>44568</v>
      </c>
      <c r="H93" s="74" t="e">
        <f t="shared" si="13"/>
        <v>#REF!</v>
      </c>
      <c r="I93" s="324" t="e">
        <f t="shared" si="14"/>
        <v>#REF!</v>
      </c>
      <c r="J93" s="357">
        <v>5.28E-2</v>
      </c>
      <c r="K93" s="316"/>
      <c r="L93" s="316"/>
      <c r="M93" s="72">
        <f t="shared" si="15"/>
        <v>0</v>
      </c>
    </row>
    <row r="94" spans="1:13" ht="16.5" customHeight="1" x14ac:dyDescent="0.25">
      <c r="A94" s="313"/>
      <c r="B94" s="73" t="s">
        <v>136</v>
      </c>
      <c r="C94" s="72">
        <v>743.8</v>
      </c>
      <c r="D94" s="70">
        <f t="shared" si="12"/>
        <v>743.8</v>
      </c>
      <c r="E94" s="72">
        <f t="shared" si="10"/>
        <v>0</v>
      </c>
      <c r="F94" s="70">
        <f t="shared" si="11"/>
        <v>59.503999999999998</v>
      </c>
      <c r="G94" s="311">
        <v>44568</v>
      </c>
      <c r="H94" s="74" t="e">
        <f>H93</f>
        <v>#REF!</v>
      </c>
      <c r="I94" s="324" t="e">
        <f t="shared" si="14"/>
        <v>#REF!</v>
      </c>
      <c r="J94" s="357">
        <v>5.28E-2</v>
      </c>
      <c r="K94" s="316"/>
      <c r="L94" s="316"/>
      <c r="M94" s="72">
        <f t="shared" si="15"/>
        <v>0</v>
      </c>
    </row>
    <row r="95" spans="1:13" ht="16.5" customHeight="1" x14ac:dyDescent="0.25">
      <c r="A95" s="313"/>
      <c r="B95" s="73" t="s">
        <v>98</v>
      </c>
      <c r="C95" s="72">
        <v>2672.97</v>
      </c>
      <c r="D95" s="70">
        <v>0</v>
      </c>
      <c r="E95" s="72">
        <f t="shared" si="10"/>
        <v>2672.97</v>
      </c>
      <c r="F95" s="70">
        <f t="shared" si="11"/>
        <v>213.83759999999998</v>
      </c>
      <c r="G95" s="76"/>
      <c r="H95" s="74" t="e">
        <f>#REF!</f>
        <v>#REF!</v>
      </c>
      <c r="I95" s="324">
        <v>0</v>
      </c>
      <c r="J95" s="357">
        <v>5.28E-2</v>
      </c>
      <c r="K95" s="316"/>
      <c r="L95" s="316"/>
      <c r="M95" s="72">
        <f t="shared" si="15"/>
        <v>141.13281599999999</v>
      </c>
    </row>
    <row r="96" spans="1:13" ht="16.5" customHeight="1" x14ac:dyDescent="0.25">
      <c r="A96" s="313"/>
      <c r="B96" s="73" t="s">
        <v>99</v>
      </c>
      <c r="C96" s="72">
        <v>3118.25</v>
      </c>
      <c r="D96" s="70">
        <v>0</v>
      </c>
      <c r="E96" s="72">
        <f t="shared" si="10"/>
        <v>3118.25</v>
      </c>
      <c r="F96" s="70">
        <f t="shared" si="11"/>
        <v>249.46</v>
      </c>
      <c r="G96" s="76"/>
      <c r="H96" s="74" t="e">
        <f t="shared" si="13"/>
        <v>#REF!</v>
      </c>
      <c r="I96" s="324">
        <v>0</v>
      </c>
      <c r="J96" s="357">
        <v>5.28E-2</v>
      </c>
      <c r="K96" s="316"/>
      <c r="L96" s="316"/>
      <c r="M96" s="72">
        <f t="shared" si="15"/>
        <v>164.64359999999999</v>
      </c>
    </row>
    <row r="97" spans="1:22" ht="16.5" customHeight="1" x14ac:dyDescent="0.25">
      <c r="A97" s="313"/>
      <c r="B97" s="73" t="s">
        <v>100</v>
      </c>
      <c r="C97" s="72">
        <v>1607.77</v>
      </c>
      <c r="D97" s="70">
        <v>0</v>
      </c>
      <c r="E97" s="72">
        <f t="shared" ref="E97:E98" si="16">C97-D97</f>
        <v>1607.77</v>
      </c>
      <c r="F97" s="70">
        <f t="shared" si="11"/>
        <v>128.6216</v>
      </c>
      <c r="G97" s="76"/>
      <c r="H97" s="74" t="e">
        <f t="shared" si="13"/>
        <v>#REF!</v>
      </c>
      <c r="I97" s="324">
        <v>0</v>
      </c>
      <c r="J97" s="357">
        <v>5.28E-2</v>
      </c>
      <c r="K97" s="316"/>
      <c r="L97" s="316"/>
      <c r="M97" s="72">
        <f t="shared" si="15"/>
        <v>84.890255999999994</v>
      </c>
    </row>
    <row r="98" spans="1:22" ht="16.5" customHeight="1" x14ac:dyDescent="0.25">
      <c r="A98" s="313"/>
      <c r="B98" s="73" t="s">
        <v>101</v>
      </c>
      <c r="C98" s="72">
        <v>5.05</v>
      </c>
      <c r="D98" s="70">
        <f t="shared" ref="D98" si="17">C98</f>
        <v>5.05</v>
      </c>
      <c r="E98" s="72">
        <f t="shared" si="16"/>
        <v>0</v>
      </c>
      <c r="F98" s="70">
        <f t="shared" si="11"/>
        <v>0.40399999999999997</v>
      </c>
      <c r="G98" s="311">
        <v>44568</v>
      </c>
      <c r="H98" s="74" t="e">
        <f t="shared" ref="H98" si="18">H96</f>
        <v>#REF!</v>
      </c>
      <c r="I98" s="324" t="e">
        <f t="shared" ref="I98" si="19">G98-H98</f>
        <v>#REF!</v>
      </c>
      <c r="J98" s="357">
        <v>5.28E-2</v>
      </c>
      <c r="K98" s="316"/>
      <c r="L98" s="316"/>
      <c r="M98" s="72">
        <f t="shared" si="15"/>
        <v>0</v>
      </c>
    </row>
    <row r="99" spans="1:22" s="65" customFormat="1" ht="17.25" customHeight="1" x14ac:dyDescent="0.25">
      <c r="A99" s="190"/>
      <c r="B99" s="181" t="s">
        <v>162</v>
      </c>
      <c r="C99" s="181">
        <f>SUM(C34:C98)</f>
        <v>50818.039999999994</v>
      </c>
      <c r="D99" s="181">
        <f>SUM(D34:D98)</f>
        <v>13362.119999999999</v>
      </c>
      <c r="E99" s="317">
        <f>SUM(E34:E98)</f>
        <v>37455.919999999998</v>
      </c>
      <c r="F99" s="181">
        <f>SUM(F34:F98)</f>
        <v>4065.4431999999997</v>
      </c>
      <c r="G99" s="182"/>
      <c r="H99" s="182"/>
      <c r="I99" s="182"/>
      <c r="J99" s="245"/>
      <c r="K99" s="182"/>
      <c r="L99" s="182"/>
      <c r="M99" s="181">
        <f>SUM(M34:M98)</f>
        <v>1977.6725759999997</v>
      </c>
    </row>
    <row r="100" spans="1:22" ht="15.75" x14ac:dyDescent="0.25">
      <c r="A100" s="186"/>
      <c r="B100" s="187" t="s">
        <v>103</v>
      </c>
      <c r="C100" s="188">
        <f>SUM(C99+C33+C17)</f>
        <v>139632.93</v>
      </c>
      <c r="D100" s="188">
        <f>D99+D33+D17</f>
        <v>15345.369999999999</v>
      </c>
      <c r="E100" s="188">
        <f>E99+E33+E17</f>
        <v>124287.55999999998</v>
      </c>
      <c r="F100" s="188">
        <f>F99+F33+F17</f>
        <v>11170.634399999999</v>
      </c>
      <c r="G100" s="189"/>
      <c r="H100" s="189"/>
      <c r="I100" s="189"/>
      <c r="J100" s="246">
        <f>J99+J33+J17</f>
        <v>0</v>
      </c>
      <c r="K100" s="189"/>
      <c r="L100" s="189"/>
      <c r="M100" s="189">
        <f>M99+M33+M17</f>
        <v>6562.3831680000003</v>
      </c>
    </row>
    <row r="102" spans="1:22" x14ac:dyDescent="0.25">
      <c r="B102" s="166"/>
      <c r="C102" s="220"/>
      <c r="D102" s="166"/>
      <c r="E102" s="166"/>
      <c r="F102" s="166"/>
      <c r="G102" s="67"/>
      <c r="H102" s="67"/>
      <c r="I102" s="67"/>
      <c r="J102" s="67"/>
      <c r="K102" s="67"/>
      <c r="L102" s="67"/>
      <c r="M102" s="67"/>
    </row>
    <row r="103" spans="1:22" x14ac:dyDescent="0.25">
      <c r="B103" s="166"/>
      <c r="C103" s="97"/>
      <c r="D103" s="97"/>
      <c r="E103" s="166"/>
      <c r="F103" s="166"/>
    </row>
    <row r="104" spans="1:22" x14ac:dyDescent="0.25">
      <c r="B104" s="166"/>
      <c r="C104" s="97"/>
      <c r="D104" s="97"/>
      <c r="E104" s="166"/>
      <c r="F104" s="166"/>
    </row>
    <row r="105" spans="1:22" x14ac:dyDescent="0.25">
      <c r="B105" s="166"/>
      <c r="C105" s="97"/>
      <c r="D105" s="97"/>
      <c r="E105" s="166"/>
      <c r="F105" s="166"/>
    </row>
    <row r="106" spans="1:22" s="69" customFormat="1" x14ac:dyDescent="0.25">
      <c r="A106" s="60"/>
      <c r="B106" s="60"/>
      <c r="C106" s="97"/>
      <c r="D106" s="97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</row>
    <row r="107" spans="1:22" s="69" customFormat="1" x14ac:dyDescent="0.25">
      <c r="A107" s="60"/>
      <c r="B107" s="60"/>
      <c r="C107" s="97"/>
      <c r="D107" s="97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</row>
  </sheetData>
  <autoFilter ref="A4:M98" xr:uid="{00000000-0009-0000-0000-000000000000}"/>
  <pageMargins left="0.51181102362204722" right="0.51181102362204722" top="0.47244094488188981" bottom="0.47244094488188981" header="0.31496062992125984" footer="0.31496062992125984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97FC2-45C3-4F3A-88BA-55ED00725864}">
  <dimension ref="A1:I338"/>
  <sheetViews>
    <sheetView workbookViewId="0">
      <selection activeCell="D24" sqref="D24"/>
    </sheetView>
  </sheetViews>
  <sheetFormatPr defaultRowHeight="15" x14ac:dyDescent="0.25"/>
  <cols>
    <col min="1" max="1" width="6.5703125" style="97" customWidth="1"/>
    <col min="2" max="2" width="28.7109375" style="97" customWidth="1"/>
    <col min="3" max="3" width="9.140625" style="97" customWidth="1"/>
    <col min="4" max="5" width="15.85546875" style="97" customWidth="1"/>
    <col min="6" max="6" width="15.5703125" style="97" customWidth="1"/>
    <col min="7" max="7" width="9.140625" style="97"/>
    <col min="8" max="8" width="15.85546875" style="97" bestFit="1" customWidth="1"/>
    <col min="9" max="9" width="21.140625" style="97" customWidth="1"/>
    <col min="10" max="10" width="18.28515625" style="97" customWidth="1"/>
    <col min="11" max="16384" width="9.140625" style="97"/>
  </cols>
  <sheetData>
    <row r="1" spans="1:9" x14ac:dyDescent="0.25">
      <c r="A1" s="488" t="s">
        <v>276</v>
      </c>
      <c r="B1" s="488"/>
      <c r="C1" s="488"/>
      <c r="D1" s="488"/>
      <c r="E1" s="488"/>
      <c r="F1" s="488"/>
      <c r="G1" s="488"/>
      <c r="H1" s="488"/>
      <c r="I1" s="488"/>
    </row>
    <row r="2" spans="1:9" x14ac:dyDescent="0.25">
      <c r="A2" s="489" t="s">
        <v>277</v>
      </c>
      <c r="B2" s="489"/>
      <c r="C2" s="489"/>
      <c r="D2" s="489"/>
      <c r="E2" s="489"/>
      <c r="F2" s="489"/>
      <c r="G2" s="489"/>
      <c r="H2" s="489"/>
      <c r="I2" s="489"/>
    </row>
    <row r="3" spans="1:9" x14ac:dyDescent="0.25">
      <c r="A3" s="431" t="s">
        <v>278</v>
      </c>
      <c r="B3" s="432" t="s">
        <v>279</v>
      </c>
      <c r="C3" s="431" t="s">
        <v>280</v>
      </c>
      <c r="D3" s="431" t="s">
        <v>281</v>
      </c>
      <c r="E3" s="433" t="s">
        <v>282</v>
      </c>
      <c r="F3" s="434">
        <v>44593</v>
      </c>
      <c r="G3" s="434">
        <v>44621</v>
      </c>
      <c r="H3" s="434">
        <v>44652</v>
      </c>
      <c r="I3" s="435" t="s">
        <v>283</v>
      </c>
    </row>
    <row r="4" spans="1:9" x14ac:dyDescent="0.25">
      <c r="A4" s="436">
        <v>5079</v>
      </c>
      <c r="B4" s="437" t="s">
        <v>37</v>
      </c>
      <c r="C4" s="438">
        <v>43522</v>
      </c>
      <c r="D4" s="439">
        <v>35.43</v>
      </c>
      <c r="E4" s="440">
        <v>0</v>
      </c>
      <c r="F4" s="441" t="s">
        <v>284</v>
      </c>
      <c r="G4" s="441" t="s">
        <v>284</v>
      </c>
      <c r="H4" s="441" t="s">
        <v>285</v>
      </c>
      <c r="I4" s="442" t="s">
        <v>285</v>
      </c>
    </row>
    <row r="5" spans="1:9" x14ac:dyDescent="0.25">
      <c r="A5" s="436">
        <v>5014</v>
      </c>
      <c r="B5" s="437" t="s">
        <v>19</v>
      </c>
      <c r="C5" s="438">
        <v>42768</v>
      </c>
      <c r="D5" s="439">
        <v>51.52</v>
      </c>
      <c r="E5" s="440">
        <v>5</v>
      </c>
      <c r="F5" s="443" t="s">
        <v>286</v>
      </c>
      <c r="G5" s="443" t="s">
        <v>286</v>
      </c>
      <c r="H5" s="443" t="s">
        <v>287</v>
      </c>
      <c r="I5" s="442" t="s">
        <v>288</v>
      </c>
    </row>
    <row r="6" spans="1:9" x14ac:dyDescent="0.25">
      <c r="A6" s="436">
        <v>5073</v>
      </c>
      <c r="B6" s="437" t="s">
        <v>38</v>
      </c>
      <c r="C6" s="438">
        <v>43320</v>
      </c>
      <c r="D6" s="439">
        <v>43.87</v>
      </c>
      <c r="E6" s="440">
        <v>0</v>
      </c>
      <c r="F6" s="443" t="s">
        <v>289</v>
      </c>
      <c r="G6" s="443" t="s">
        <v>289</v>
      </c>
      <c r="H6" s="443" t="s">
        <v>289</v>
      </c>
      <c r="I6" s="442" t="s">
        <v>290</v>
      </c>
    </row>
    <row r="7" spans="1:9" x14ac:dyDescent="0.25">
      <c r="A7" s="436">
        <v>5045</v>
      </c>
      <c r="B7" s="437" t="s">
        <v>42</v>
      </c>
      <c r="C7" s="438">
        <v>42961</v>
      </c>
      <c r="D7" s="439">
        <v>35.43</v>
      </c>
      <c r="E7" s="440">
        <v>0</v>
      </c>
      <c r="F7" s="443" t="s">
        <v>284</v>
      </c>
      <c r="G7" s="443" t="s">
        <v>284</v>
      </c>
      <c r="H7" s="443" t="s">
        <v>284</v>
      </c>
      <c r="I7" s="442" t="s">
        <v>291</v>
      </c>
    </row>
    <row r="8" spans="1:9" x14ac:dyDescent="0.25">
      <c r="A8" s="436">
        <v>4855</v>
      </c>
      <c r="B8" s="437" t="s">
        <v>1</v>
      </c>
      <c r="C8" s="438">
        <v>41122</v>
      </c>
      <c r="D8" s="439">
        <v>84.72</v>
      </c>
      <c r="E8" s="440">
        <v>5</v>
      </c>
      <c r="F8" s="443" t="s">
        <v>292</v>
      </c>
      <c r="G8" s="443" t="s">
        <v>292</v>
      </c>
      <c r="H8" s="443" t="s">
        <v>292</v>
      </c>
      <c r="I8" s="442" t="s">
        <v>285</v>
      </c>
    </row>
    <row r="9" spans="1:9" x14ac:dyDescent="0.25">
      <c r="A9" s="436">
        <v>4724</v>
      </c>
      <c r="B9" s="437" t="s">
        <v>3</v>
      </c>
      <c r="C9" s="438">
        <v>39874</v>
      </c>
      <c r="D9" s="439">
        <v>75.38</v>
      </c>
      <c r="E9" s="440">
        <v>10</v>
      </c>
      <c r="F9" s="443" t="s">
        <v>293</v>
      </c>
      <c r="G9" s="443" t="s">
        <v>293</v>
      </c>
      <c r="H9" s="443" t="s">
        <v>294</v>
      </c>
      <c r="I9" s="442" t="s">
        <v>295</v>
      </c>
    </row>
    <row r="10" spans="1:9" x14ac:dyDescent="0.25">
      <c r="A10" s="436">
        <v>5047</v>
      </c>
      <c r="B10" s="437" t="s">
        <v>53</v>
      </c>
      <c r="C10" s="438">
        <v>42970</v>
      </c>
      <c r="D10" s="439">
        <v>35.43</v>
      </c>
      <c r="E10" s="440">
        <v>0</v>
      </c>
      <c r="F10" s="443" t="s">
        <v>296</v>
      </c>
      <c r="G10" s="443" t="s">
        <v>296</v>
      </c>
      <c r="H10" s="444" t="s">
        <v>297</v>
      </c>
      <c r="I10" s="442">
        <v>39.22</v>
      </c>
    </row>
    <row r="11" spans="1:9" x14ac:dyDescent="0.25">
      <c r="A11" s="436">
        <v>5015</v>
      </c>
      <c r="B11" s="437" t="s">
        <v>26</v>
      </c>
      <c r="C11" s="438">
        <v>42768</v>
      </c>
      <c r="D11" s="439">
        <v>51.52</v>
      </c>
      <c r="E11" s="440">
        <v>5</v>
      </c>
      <c r="F11" s="443" t="s">
        <v>286</v>
      </c>
      <c r="G11" s="443" t="s">
        <v>286</v>
      </c>
      <c r="H11" s="443" t="s">
        <v>298</v>
      </c>
      <c r="I11" s="442">
        <v>36</v>
      </c>
    </row>
    <row r="12" spans="1:9" x14ac:dyDescent="0.25">
      <c r="A12" s="436">
        <v>4618</v>
      </c>
      <c r="B12" s="437" t="s">
        <v>8</v>
      </c>
      <c r="C12" s="438">
        <v>38019</v>
      </c>
      <c r="D12" s="439">
        <v>95.54</v>
      </c>
      <c r="E12" s="440">
        <v>15</v>
      </c>
      <c r="F12" s="443" t="s">
        <v>299</v>
      </c>
      <c r="G12" s="443" t="s">
        <v>299</v>
      </c>
      <c r="H12" s="443" t="s">
        <v>300</v>
      </c>
      <c r="I12" s="442">
        <v>49.3</v>
      </c>
    </row>
    <row r="13" spans="1:9" x14ac:dyDescent="0.25">
      <c r="A13" s="436">
        <v>4801</v>
      </c>
      <c r="B13" s="437" t="s">
        <v>27</v>
      </c>
      <c r="C13" s="438">
        <v>40581</v>
      </c>
      <c r="D13" s="439">
        <v>51.52</v>
      </c>
      <c r="E13" s="440">
        <v>10</v>
      </c>
      <c r="F13" s="443" t="s">
        <v>301</v>
      </c>
      <c r="G13" s="443" t="s">
        <v>301</v>
      </c>
      <c r="H13" s="443">
        <v>0.28125</v>
      </c>
      <c r="I13" s="442" t="s">
        <v>302</v>
      </c>
    </row>
    <row r="14" spans="1:9" x14ac:dyDescent="0.25">
      <c r="A14" s="436">
        <v>5115</v>
      </c>
      <c r="B14" s="437" t="s">
        <v>274</v>
      </c>
      <c r="C14" s="438">
        <v>43748</v>
      </c>
      <c r="D14" s="439">
        <v>35.43</v>
      </c>
      <c r="E14" s="440">
        <v>0</v>
      </c>
      <c r="F14" s="443" t="s">
        <v>289</v>
      </c>
      <c r="G14" s="443" t="s">
        <v>289</v>
      </c>
      <c r="H14" s="443" t="s">
        <v>289</v>
      </c>
      <c r="I14" s="442">
        <v>46.07</v>
      </c>
    </row>
    <row r="15" spans="1:9" x14ac:dyDescent="0.25">
      <c r="A15" s="436">
        <v>5074</v>
      </c>
      <c r="B15" s="437" t="s">
        <v>74</v>
      </c>
      <c r="C15" s="438">
        <v>43326</v>
      </c>
      <c r="D15" s="439">
        <v>43.87</v>
      </c>
      <c r="E15" s="440">
        <v>0</v>
      </c>
      <c r="F15" s="443" t="s">
        <v>303</v>
      </c>
      <c r="G15" s="443" t="s">
        <v>303</v>
      </c>
      <c r="H15" s="443" t="s">
        <v>304</v>
      </c>
      <c r="I15" s="442">
        <v>96.45</v>
      </c>
    </row>
    <row r="16" spans="1:9" x14ac:dyDescent="0.25">
      <c r="A16" s="436">
        <v>5100</v>
      </c>
      <c r="B16" s="437" t="s">
        <v>77</v>
      </c>
      <c r="C16" s="438">
        <v>43682</v>
      </c>
      <c r="D16" s="439">
        <v>35.43</v>
      </c>
      <c r="E16" s="440">
        <v>0</v>
      </c>
      <c r="F16" s="443" t="s">
        <v>305</v>
      </c>
      <c r="G16" s="443" t="s">
        <v>305</v>
      </c>
      <c r="H16" s="443" t="s">
        <v>305</v>
      </c>
      <c r="I16" s="442">
        <v>36</v>
      </c>
    </row>
    <row r="17" spans="1:9" x14ac:dyDescent="0.25">
      <c r="A17" s="436">
        <v>4816</v>
      </c>
      <c r="B17" s="437" t="s">
        <v>104</v>
      </c>
      <c r="C17" s="438">
        <v>40749</v>
      </c>
      <c r="D17" s="439">
        <v>84.72</v>
      </c>
      <c r="E17" s="440">
        <v>10</v>
      </c>
      <c r="F17" s="443" t="s">
        <v>306</v>
      </c>
      <c r="G17" s="443" t="s">
        <v>306</v>
      </c>
      <c r="H17" s="443" t="s">
        <v>306</v>
      </c>
      <c r="I17" s="442" t="s">
        <v>285</v>
      </c>
    </row>
    <row r="18" spans="1:9" x14ac:dyDescent="0.25">
      <c r="A18" s="436">
        <v>4789</v>
      </c>
      <c r="B18" s="437" t="s">
        <v>31</v>
      </c>
      <c r="C18" s="438">
        <v>40401</v>
      </c>
      <c r="D18" s="439">
        <v>51.52</v>
      </c>
      <c r="E18" s="440">
        <v>10</v>
      </c>
      <c r="F18" s="443" t="s">
        <v>307</v>
      </c>
      <c r="G18" s="443" t="s">
        <v>307</v>
      </c>
      <c r="H18" s="443" t="s">
        <v>307</v>
      </c>
      <c r="I18" s="442" t="s">
        <v>308</v>
      </c>
    </row>
    <row r="19" spans="1:9" x14ac:dyDescent="0.25">
      <c r="A19" s="436">
        <v>4969</v>
      </c>
      <c r="B19" s="437" t="s">
        <v>275</v>
      </c>
      <c r="C19" s="438">
        <v>42219</v>
      </c>
      <c r="D19" s="439">
        <v>51.52</v>
      </c>
      <c r="E19" s="440">
        <v>5</v>
      </c>
      <c r="F19" s="443" t="s">
        <v>293</v>
      </c>
      <c r="G19" s="443" t="s">
        <v>293</v>
      </c>
      <c r="H19" s="443" t="s">
        <v>309</v>
      </c>
      <c r="I19" s="442">
        <v>20.25</v>
      </c>
    </row>
    <row r="20" spans="1:9" x14ac:dyDescent="0.25">
      <c r="A20" s="436">
        <v>5096</v>
      </c>
      <c r="B20" s="437" t="s">
        <v>94</v>
      </c>
      <c r="C20" s="438">
        <v>43682</v>
      </c>
      <c r="D20" s="439">
        <v>43.87</v>
      </c>
      <c r="E20" s="440">
        <v>0</v>
      </c>
      <c r="F20" s="443" t="s">
        <v>305</v>
      </c>
      <c r="G20" s="443" t="s">
        <v>305</v>
      </c>
      <c r="H20" s="443" t="s">
        <v>305</v>
      </c>
      <c r="I20" s="442" t="s">
        <v>310</v>
      </c>
    </row>
    <row r="21" spans="1:9" x14ac:dyDescent="0.25">
      <c r="A21" s="436">
        <v>5081</v>
      </c>
      <c r="B21" s="437" t="s">
        <v>95</v>
      </c>
      <c r="C21" s="438">
        <v>43523</v>
      </c>
      <c r="D21" s="439">
        <v>35.43</v>
      </c>
      <c r="E21" s="440">
        <v>0</v>
      </c>
      <c r="F21" s="443" t="s">
        <v>292</v>
      </c>
      <c r="G21" s="443" t="s">
        <v>292</v>
      </c>
      <c r="H21" s="443" t="s">
        <v>292</v>
      </c>
      <c r="I21" s="442" t="s">
        <v>285</v>
      </c>
    </row>
    <row r="22" spans="1:9" x14ac:dyDescent="0.25">
      <c r="A22" s="445"/>
      <c r="B22" s="446">
        <v>19</v>
      </c>
      <c r="C22" s="447"/>
      <c r="D22" s="447"/>
      <c r="E22" s="447"/>
    </row>
    <row r="23" spans="1:9" x14ac:dyDescent="0.25">
      <c r="A23" s="445"/>
      <c r="B23" s="448"/>
      <c r="C23" s="447"/>
      <c r="D23" s="447"/>
      <c r="E23" s="447"/>
    </row>
    <row r="24" spans="1:9" x14ac:dyDescent="0.25">
      <c r="A24" s="445"/>
      <c r="B24" s="448"/>
      <c r="C24" s="447"/>
      <c r="D24" s="447"/>
      <c r="E24" s="447"/>
    </row>
    <row r="25" spans="1:9" x14ac:dyDescent="0.25">
      <c r="A25" s="445"/>
      <c r="B25" s="448"/>
      <c r="C25" s="447"/>
      <c r="D25" s="447"/>
      <c r="E25" s="447"/>
    </row>
    <row r="26" spans="1:9" x14ac:dyDescent="0.25">
      <c r="A26" s="445"/>
      <c r="B26" s="448"/>
      <c r="C26" s="447"/>
      <c r="D26" s="447"/>
      <c r="E26" s="447"/>
    </row>
    <row r="27" spans="1:9" x14ac:dyDescent="0.25">
      <c r="A27" s="445"/>
      <c r="B27" s="448"/>
      <c r="C27" s="447"/>
      <c r="D27" s="447"/>
      <c r="E27" s="447"/>
    </row>
    <row r="28" spans="1:9" x14ac:dyDescent="0.25">
      <c r="A28" s="445"/>
      <c r="B28" s="448"/>
      <c r="C28" s="447"/>
      <c r="D28" s="447"/>
      <c r="E28" s="447"/>
    </row>
    <row r="29" spans="1:9" x14ac:dyDescent="0.25">
      <c r="A29" s="445"/>
      <c r="B29" s="448"/>
      <c r="C29" s="447"/>
      <c r="D29" s="447"/>
      <c r="E29" s="447"/>
    </row>
    <row r="30" spans="1:9" x14ac:dyDescent="0.25">
      <c r="A30" s="445"/>
      <c r="B30" s="448"/>
      <c r="C30" s="447"/>
      <c r="D30" s="447"/>
      <c r="E30" s="447"/>
    </row>
    <row r="31" spans="1:9" x14ac:dyDescent="0.25">
      <c r="A31" s="445"/>
      <c r="B31" s="448"/>
      <c r="C31" s="447"/>
      <c r="D31" s="447"/>
      <c r="E31" s="447"/>
    </row>
    <row r="32" spans="1:9" x14ac:dyDescent="0.25">
      <c r="A32" s="445"/>
      <c r="B32" s="448"/>
      <c r="C32" s="447"/>
      <c r="D32" s="447"/>
      <c r="E32" s="447"/>
    </row>
    <row r="33" spans="1:5" x14ac:dyDescent="0.25">
      <c r="A33" s="445"/>
      <c r="B33" s="448"/>
      <c r="C33" s="447"/>
      <c r="D33" s="447"/>
      <c r="E33" s="447"/>
    </row>
    <row r="34" spans="1:5" x14ac:dyDescent="0.25">
      <c r="A34" s="445"/>
      <c r="B34" s="448"/>
      <c r="C34" s="447"/>
      <c r="D34" s="447"/>
      <c r="E34" s="447"/>
    </row>
    <row r="35" spans="1:5" x14ac:dyDescent="0.25">
      <c r="A35" s="445"/>
      <c r="B35" s="448"/>
      <c r="C35" s="447"/>
      <c r="D35" s="447"/>
      <c r="E35" s="447"/>
    </row>
    <row r="36" spans="1:5" x14ac:dyDescent="0.25">
      <c r="A36" s="445"/>
      <c r="B36" s="448"/>
      <c r="C36" s="447"/>
      <c r="D36" s="447"/>
      <c r="E36" s="447"/>
    </row>
    <row r="37" spans="1:5" x14ac:dyDescent="0.25">
      <c r="A37" s="445"/>
      <c r="B37" s="448"/>
      <c r="C37" s="447"/>
      <c r="D37" s="447"/>
      <c r="E37" s="447"/>
    </row>
    <row r="38" spans="1:5" x14ac:dyDescent="0.25">
      <c r="A38" s="445"/>
      <c r="B38" s="448"/>
      <c r="C38" s="447"/>
      <c r="D38" s="447"/>
      <c r="E38" s="447"/>
    </row>
    <row r="39" spans="1:5" x14ac:dyDescent="0.25">
      <c r="A39" s="445"/>
      <c r="B39" s="448"/>
      <c r="C39" s="447"/>
      <c r="D39" s="447"/>
      <c r="E39" s="447"/>
    </row>
    <row r="40" spans="1:5" x14ac:dyDescent="0.25">
      <c r="A40" s="445"/>
      <c r="B40" s="448"/>
      <c r="C40" s="447"/>
      <c r="D40" s="447"/>
      <c r="E40" s="447"/>
    </row>
    <row r="41" spans="1:5" x14ac:dyDescent="0.25">
      <c r="A41" s="445"/>
      <c r="B41" s="448"/>
      <c r="C41" s="447"/>
      <c r="D41" s="447"/>
      <c r="E41" s="447"/>
    </row>
    <row r="42" spans="1:5" x14ac:dyDescent="0.25">
      <c r="A42" s="445"/>
      <c r="B42" s="448"/>
      <c r="C42" s="447"/>
      <c r="D42" s="447"/>
      <c r="E42" s="447"/>
    </row>
    <row r="43" spans="1:5" x14ac:dyDescent="0.25">
      <c r="A43" s="445"/>
      <c r="B43" s="448"/>
      <c r="C43" s="447"/>
      <c r="D43" s="447"/>
      <c r="E43" s="447"/>
    </row>
    <row r="44" spans="1:5" x14ac:dyDescent="0.25">
      <c r="A44" s="445"/>
      <c r="B44" s="448"/>
      <c r="C44" s="447"/>
      <c r="D44" s="447"/>
      <c r="E44" s="447"/>
    </row>
    <row r="45" spans="1:5" x14ac:dyDescent="0.25">
      <c r="A45" s="445"/>
      <c r="B45" s="448"/>
      <c r="C45" s="447"/>
      <c r="D45" s="447"/>
      <c r="E45" s="447"/>
    </row>
    <row r="46" spans="1:5" x14ac:dyDescent="0.25">
      <c r="A46" s="445"/>
      <c r="B46" s="448"/>
      <c r="C46" s="447"/>
      <c r="D46" s="447"/>
      <c r="E46" s="447"/>
    </row>
    <row r="47" spans="1:5" x14ac:dyDescent="0.25">
      <c r="A47" s="445"/>
      <c r="B47" s="448"/>
      <c r="C47" s="447"/>
      <c r="D47" s="447"/>
      <c r="E47" s="447"/>
    </row>
    <row r="48" spans="1:5" x14ac:dyDescent="0.25">
      <c r="A48" s="445"/>
      <c r="B48" s="448"/>
      <c r="C48" s="447"/>
      <c r="D48" s="447"/>
      <c r="E48" s="447"/>
    </row>
    <row r="49" spans="1:5" x14ac:dyDescent="0.25">
      <c r="A49" s="445"/>
      <c r="B49" s="448"/>
      <c r="C49" s="447"/>
      <c r="D49" s="447"/>
      <c r="E49" s="447"/>
    </row>
    <row r="50" spans="1:5" x14ac:dyDescent="0.25">
      <c r="A50" s="445"/>
      <c r="B50" s="448"/>
      <c r="C50" s="447"/>
      <c r="D50" s="447"/>
      <c r="E50" s="447"/>
    </row>
    <row r="51" spans="1:5" x14ac:dyDescent="0.25">
      <c r="A51" s="445"/>
      <c r="B51" s="448"/>
      <c r="C51" s="447"/>
      <c r="D51" s="447"/>
      <c r="E51" s="447"/>
    </row>
    <row r="52" spans="1:5" x14ac:dyDescent="0.25">
      <c r="A52" s="445"/>
      <c r="B52" s="448"/>
      <c r="C52" s="447"/>
      <c r="D52" s="447"/>
      <c r="E52" s="447"/>
    </row>
    <row r="53" spans="1:5" x14ac:dyDescent="0.25">
      <c r="A53" s="445"/>
      <c r="B53" s="448"/>
      <c r="C53" s="447"/>
      <c r="D53" s="447"/>
      <c r="E53" s="447"/>
    </row>
    <row r="54" spans="1:5" x14ac:dyDescent="0.25">
      <c r="A54" s="445"/>
      <c r="B54" s="448"/>
      <c r="C54" s="447"/>
      <c r="D54" s="447"/>
      <c r="E54" s="447"/>
    </row>
    <row r="55" spans="1:5" x14ac:dyDescent="0.25">
      <c r="A55" s="445"/>
      <c r="B55" s="448"/>
      <c r="C55" s="447"/>
      <c r="D55" s="447"/>
      <c r="E55" s="447"/>
    </row>
    <row r="56" spans="1:5" x14ac:dyDescent="0.25">
      <c r="A56" s="445"/>
      <c r="B56" s="448"/>
      <c r="C56" s="447"/>
      <c r="D56" s="447"/>
      <c r="E56" s="447"/>
    </row>
    <row r="57" spans="1:5" x14ac:dyDescent="0.25">
      <c r="A57" s="445"/>
      <c r="B57" s="448"/>
      <c r="C57" s="447"/>
      <c r="D57" s="447"/>
      <c r="E57" s="447"/>
    </row>
    <row r="58" spans="1:5" x14ac:dyDescent="0.25">
      <c r="A58" s="445"/>
      <c r="B58" s="448"/>
      <c r="C58" s="447"/>
      <c r="D58" s="447"/>
      <c r="E58" s="447"/>
    </row>
    <row r="59" spans="1:5" x14ac:dyDescent="0.25">
      <c r="A59" s="445"/>
      <c r="B59" s="448"/>
      <c r="C59" s="447"/>
      <c r="D59" s="447"/>
      <c r="E59" s="447"/>
    </row>
    <row r="60" spans="1:5" x14ac:dyDescent="0.25">
      <c r="A60" s="445"/>
      <c r="B60" s="448"/>
      <c r="C60" s="447"/>
      <c r="D60" s="447"/>
      <c r="E60" s="447"/>
    </row>
    <row r="61" spans="1:5" x14ac:dyDescent="0.25">
      <c r="A61" s="445"/>
      <c r="B61" s="448"/>
      <c r="C61" s="447"/>
      <c r="D61" s="447"/>
      <c r="E61" s="447"/>
    </row>
    <row r="62" spans="1:5" x14ac:dyDescent="0.25">
      <c r="A62" s="445"/>
      <c r="B62" s="448"/>
      <c r="C62" s="447"/>
      <c r="D62" s="447"/>
      <c r="E62" s="447"/>
    </row>
    <row r="63" spans="1:5" x14ac:dyDescent="0.25">
      <c r="A63" s="445"/>
      <c r="B63" s="448"/>
      <c r="C63" s="447"/>
      <c r="D63" s="447"/>
      <c r="E63" s="447"/>
    </row>
    <row r="64" spans="1:5" x14ac:dyDescent="0.25">
      <c r="A64" s="445"/>
      <c r="B64" s="448"/>
      <c r="C64" s="447"/>
      <c r="D64" s="447"/>
      <c r="E64" s="447"/>
    </row>
    <row r="65" spans="1:5" x14ac:dyDescent="0.25">
      <c r="A65" s="445"/>
      <c r="B65" s="448"/>
      <c r="C65" s="447"/>
      <c r="D65" s="447"/>
      <c r="E65" s="447"/>
    </row>
    <row r="66" spans="1:5" x14ac:dyDescent="0.25">
      <c r="A66" s="445"/>
      <c r="B66" s="448"/>
      <c r="C66" s="447"/>
      <c r="D66" s="447"/>
      <c r="E66" s="447"/>
    </row>
    <row r="67" spans="1:5" x14ac:dyDescent="0.25">
      <c r="A67" s="445"/>
      <c r="B67" s="448"/>
      <c r="C67" s="447"/>
      <c r="D67" s="447"/>
      <c r="E67" s="447"/>
    </row>
    <row r="68" spans="1:5" x14ac:dyDescent="0.25">
      <c r="A68" s="445"/>
      <c r="B68" s="448"/>
      <c r="C68" s="447"/>
      <c r="D68" s="447"/>
      <c r="E68" s="447"/>
    </row>
    <row r="69" spans="1:5" x14ac:dyDescent="0.25">
      <c r="A69" s="445"/>
      <c r="B69" s="448"/>
      <c r="C69" s="447"/>
      <c r="D69" s="447"/>
      <c r="E69" s="447"/>
    </row>
    <row r="70" spans="1:5" x14ac:dyDescent="0.25">
      <c r="A70" s="445"/>
      <c r="B70" s="448"/>
      <c r="C70" s="447"/>
      <c r="D70" s="447"/>
      <c r="E70" s="447"/>
    </row>
    <row r="71" spans="1:5" x14ac:dyDescent="0.25">
      <c r="A71" s="445"/>
      <c r="B71" s="448"/>
      <c r="C71" s="447"/>
      <c r="D71" s="447"/>
      <c r="E71" s="447"/>
    </row>
    <row r="72" spans="1:5" x14ac:dyDescent="0.25">
      <c r="A72" s="445"/>
      <c r="B72" s="448"/>
      <c r="C72" s="447"/>
      <c r="D72" s="447"/>
      <c r="E72" s="447"/>
    </row>
    <row r="73" spans="1:5" x14ac:dyDescent="0.25">
      <c r="A73" s="445"/>
      <c r="B73" s="448"/>
      <c r="C73" s="447"/>
      <c r="D73" s="447"/>
      <c r="E73" s="447"/>
    </row>
    <row r="74" spans="1:5" x14ac:dyDescent="0.25">
      <c r="A74" s="445"/>
      <c r="B74" s="448"/>
      <c r="C74" s="447"/>
      <c r="D74" s="447"/>
      <c r="E74" s="447"/>
    </row>
    <row r="75" spans="1:5" x14ac:dyDescent="0.25">
      <c r="A75" s="445"/>
      <c r="B75" s="448"/>
      <c r="C75" s="447"/>
      <c r="D75" s="447"/>
      <c r="E75" s="447"/>
    </row>
    <row r="76" spans="1:5" x14ac:dyDescent="0.25">
      <c r="A76" s="445"/>
      <c r="B76" s="448"/>
      <c r="C76" s="447"/>
      <c r="D76" s="447"/>
      <c r="E76" s="447"/>
    </row>
    <row r="77" spans="1:5" x14ac:dyDescent="0.25">
      <c r="A77" s="445"/>
      <c r="B77" s="448"/>
      <c r="C77" s="447"/>
      <c r="D77" s="447"/>
      <c r="E77" s="447"/>
    </row>
    <row r="78" spans="1:5" x14ac:dyDescent="0.25">
      <c r="A78" s="445"/>
      <c r="B78" s="448"/>
      <c r="C78" s="447"/>
      <c r="D78" s="447"/>
      <c r="E78" s="447"/>
    </row>
    <row r="79" spans="1:5" x14ac:dyDescent="0.25">
      <c r="A79" s="445"/>
      <c r="B79" s="448"/>
      <c r="C79" s="447"/>
      <c r="D79" s="447"/>
      <c r="E79" s="447"/>
    </row>
    <row r="80" spans="1:5" x14ac:dyDescent="0.25">
      <c r="A80" s="445"/>
      <c r="B80" s="448"/>
      <c r="C80" s="447"/>
      <c r="D80" s="447"/>
      <c r="E80" s="447"/>
    </row>
    <row r="81" spans="1:7" x14ac:dyDescent="0.25">
      <c r="A81" s="445"/>
      <c r="B81" s="448"/>
      <c r="C81" s="447"/>
      <c r="D81" s="447"/>
      <c r="E81" s="447"/>
    </row>
    <row r="82" spans="1:7" x14ac:dyDescent="0.25">
      <c r="A82" s="445"/>
      <c r="B82" s="448"/>
      <c r="C82" s="447"/>
      <c r="D82" s="447"/>
      <c r="E82" s="447"/>
    </row>
    <row r="83" spans="1:7" x14ac:dyDescent="0.25">
      <c r="A83" s="445"/>
      <c r="B83" s="448"/>
      <c r="C83" s="447"/>
      <c r="D83" s="447"/>
      <c r="E83" s="447"/>
    </row>
    <row r="84" spans="1:7" x14ac:dyDescent="0.25">
      <c r="A84" s="445"/>
      <c r="B84" s="448"/>
      <c r="C84" s="447"/>
      <c r="D84" s="447"/>
      <c r="E84" s="447"/>
    </row>
    <row r="85" spans="1:7" x14ac:dyDescent="0.25">
      <c r="A85" s="445"/>
      <c r="B85" s="448"/>
      <c r="C85" s="447"/>
      <c r="D85" s="447"/>
      <c r="E85" s="447"/>
    </row>
    <row r="86" spans="1:7" x14ac:dyDescent="0.25">
      <c r="A86" s="445"/>
      <c r="B86" s="448"/>
      <c r="C86" s="447"/>
      <c r="D86" s="447"/>
      <c r="E86" s="447"/>
    </row>
    <row r="87" spans="1:7" x14ac:dyDescent="0.25">
      <c r="A87" s="445"/>
      <c r="B87" s="448"/>
      <c r="C87" s="447"/>
      <c r="D87" s="447"/>
      <c r="E87" s="447"/>
    </row>
    <row r="88" spans="1:7" x14ac:dyDescent="0.25">
      <c r="A88" s="445"/>
      <c r="B88" s="448"/>
      <c r="C88" s="447"/>
      <c r="D88" s="447"/>
      <c r="E88" s="447"/>
    </row>
    <row r="90" spans="1:7" x14ac:dyDescent="0.25">
      <c r="A90" s="449"/>
      <c r="B90" s="449"/>
      <c r="G90" s="450"/>
    </row>
    <row r="92" spans="1:7" x14ac:dyDescent="0.25">
      <c r="A92" s="451"/>
    </row>
    <row r="93" spans="1:7" x14ac:dyDescent="0.25">
      <c r="A93" s="452"/>
      <c r="B93" s="452"/>
      <c r="C93" s="452"/>
      <c r="D93" s="452"/>
      <c r="E93" s="452"/>
    </row>
    <row r="94" spans="1:7" x14ac:dyDescent="0.25">
      <c r="A94" s="445"/>
      <c r="B94" s="448"/>
      <c r="C94" s="447"/>
      <c r="D94" s="447"/>
      <c r="E94" s="447"/>
    </row>
    <row r="95" spans="1:7" x14ac:dyDescent="0.25">
      <c r="A95" s="445"/>
      <c r="B95" s="448"/>
      <c r="C95" s="447"/>
      <c r="D95" s="447"/>
      <c r="E95" s="447"/>
    </row>
    <row r="96" spans="1:7" x14ac:dyDescent="0.25">
      <c r="A96" s="445"/>
      <c r="B96" s="448"/>
      <c r="C96" s="447"/>
      <c r="D96" s="447"/>
      <c r="E96" s="447"/>
    </row>
    <row r="97" spans="1:5" x14ac:dyDescent="0.25">
      <c r="A97" s="445"/>
      <c r="B97" s="448"/>
      <c r="C97" s="447"/>
      <c r="D97" s="447"/>
      <c r="E97" s="447"/>
    </row>
    <row r="98" spans="1:5" x14ac:dyDescent="0.25">
      <c r="A98" s="445"/>
      <c r="B98" s="448"/>
      <c r="C98" s="447"/>
      <c r="D98" s="447"/>
      <c r="E98" s="447"/>
    </row>
    <row r="99" spans="1:5" x14ac:dyDescent="0.25">
      <c r="A99" s="445"/>
      <c r="B99" s="448"/>
      <c r="C99" s="447"/>
      <c r="D99" s="447"/>
      <c r="E99" s="447"/>
    </row>
    <row r="100" spans="1:5" x14ac:dyDescent="0.25">
      <c r="A100" s="445"/>
      <c r="B100" s="448"/>
      <c r="C100" s="447"/>
      <c r="D100" s="447"/>
      <c r="E100" s="447"/>
    </row>
    <row r="101" spans="1:5" x14ac:dyDescent="0.25">
      <c r="A101" s="445"/>
      <c r="B101" s="448"/>
      <c r="C101" s="447"/>
      <c r="D101" s="447"/>
      <c r="E101" s="447"/>
    </row>
    <row r="102" spans="1:5" x14ac:dyDescent="0.25">
      <c r="A102" s="445"/>
      <c r="B102" s="448"/>
      <c r="C102" s="447"/>
      <c r="D102" s="447"/>
      <c r="E102" s="447"/>
    </row>
    <row r="103" spans="1:5" x14ac:dyDescent="0.25">
      <c r="A103" s="445"/>
      <c r="B103" s="448"/>
      <c r="C103" s="447"/>
      <c r="D103" s="447"/>
      <c r="E103" s="447"/>
    </row>
    <row r="104" spans="1:5" x14ac:dyDescent="0.25">
      <c r="A104" s="445"/>
      <c r="B104" s="448"/>
      <c r="C104" s="447"/>
      <c r="D104" s="447"/>
      <c r="E104" s="447"/>
    </row>
    <row r="105" spans="1:5" x14ac:dyDescent="0.25">
      <c r="A105" s="445"/>
      <c r="B105" s="448"/>
      <c r="C105" s="447"/>
      <c r="D105" s="447"/>
      <c r="E105" s="447"/>
    </row>
    <row r="106" spans="1:5" x14ac:dyDescent="0.25">
      <c r="A106" s="445"/>
      <c r="B106" s="448"/>
      <c r="C106" s="447"/>
      <c r="D106" s="447"/>
      <c r="E106" s="447"/>
    </row>
    <row r="107" spans="1:5" x14ac:dyDescent="0.25">
      <c r="A107" s="445"/>
      <c r="B107" s="448"/>
      <c r="C107" s="447"/>
      <c r="D107" s="447"/>
      <c r="E107" s="447"/>
    </row>
    <row r="108" spans="1:5" x14ac:dyDescent="0.25">
      <c r="A108" s="445"/>
      <c r="B108" s="448"/>
      <c r="C108" s="447"/>
      <c r="D108" s="447"/>
      <c r="E108" s="447"/>
    </row>
    <row r="109" spans="1:5" x14ac:dyDescent="0.25">
      <c r="A109" s="445"/>
      <c r="B109" s="448"/>
      <c r="C109" s="447"/>
      <c r="D109" s="447"/>
      <c r="E109" s="447"/>
    </row>
    <row r="110" spans="1:5" x14ac:dyDescent="0.25">
      <c r="A110" s="445"/>
      <c r="B110" s="448"/>
      <c r="C110" s="447"/>
      <c r="D110" s="447"/>
      <c r="E110" s="447"/>
    </row>
    <row r="111" spans="1:5" x14ac:dyDescent="0.25">
      <c r="A111" s="445"/>
      <c r="B111" s="448"/>
      <c r="C111" s="447"/>
      <c r="D111" s="447"/>
      <c r="E111" s="447"/>
    </row>
    <row r="112" spans="1:5" x14ac:dyDescent="0.25">
      <c r="A112" s="445"/>
      <c r="B112" s="448"/>
      <c r="C112" s="447"/>
      <c r="D112" s="447"/>
      <c r="E112" s="447"/>
    </row>
    <row r="113" spans="1:6" x14ac:dyDescent="0.25">
      <c r="A113" s="445"/>
      <c r="B113" s="448"/>
      <c r="C113" s="447"/>
      <c r="D113" s="447"/>
      <c r="E113" s="447"/>
    </row>
    <row r="114" spans="1:6" x14ac:dyDescent="0.25">
      <c r="A114" s="445"/>
      <c r="B114" s="448"/>
      <c r="C114" s="447"/>
      <c r="D114" s="447"/>
      <c r="E114" s="447"/>
    </row>
    <row r="115" spans="1:6" x14ac:dyDescent="0.25">
      <c r="A115" s="445"/>
      <c r="B115" s="448"/>
      <c r="C115" s="447"/>
      <c r="D115" s="447"/>
      <c r="E115" s="447"/>
    </row>
    <row r="116" spans="1:6" x14ac:dyDescent="0.25">
      <c r="A116" s="445"/>
      <c r="B116" s="448"/>
      <c r="C116" s="447"/>
      <c r="D116" s="447"/>
      <c r="E116" s="447"/>
    </row>
    <row r="117" spans="1:6" x14ac:dyDescent="0.25">
      <c r="A117" s="445"/>
      <c r="B117" s="448"/>
      <c r="C117" s="447"/>
      <c r="D117" s="447"/>
      <c r="E117" s="447"/>
    </row>
    <row r="118" spans="1:6" x14ac:dyDescent="0.25">
      <c r="A118" s="445"/>
      <c r="B118" s="448"/>
      <c r="C118" s="447"/>
      <c r="D118" s="447"/>
      <c r="E118" s="447"/>
    </row>
    <row r="119" spans="1:6" x14ac:dyDescent="0.25">
      <c r="A119" s="445"/>
      <c r="B119" s="448"/>
      <c r="C119" s="447"/>
      <c r="D119" s="447"/>
      <c r="E119" s="447"/>
    </row>
    <row r="120" spans="1:6" x14ac:dyDescent="0.25">
      <c r="F120" s="453"/>
    </row>
    <row r="121" spans="1:6" x14ac:dyDescent="0.25">
      <c r="A121" s="451"/>
    </row>
    <row r="122" spans="1:6" x14ac:dyDescent="0.25">
      <c r="A122" s="452"/>
      <c r="B122" s="452"/>
      <c r="C122" s="452"/>
      <c r="D122" s="452"/>
      <c r="E122" s="452"/>
    </row>
    <row r="123" spans="1:6" x14ac:dyDescent="0.25">
      <c r="A123" s="445"/>
      <c r="B123" s="448"/>
      <c r="C123" s="447"/>
      <c r="D123" s="447"/>
      <c r="E123" s="447"/>
    </row>
    <row r="124" spans="1:6" x14ac:dyDescent="0.25">
      <c r="A124" s="445"/>
      <c r="B124" s="448"/>
      <c r="C124" s="447"/>
      <c r="D124" s="447"/>
      <c r="E124" s="447"/>
    </row>
    <row r="125" spans="1:6" x14ac:dyDescent="0.25">
      <c r="A125" s="445"/>
      <c r="B125" s="448"/>
      <c r="C125" s="447"/>
      <c r="D125" s="447"/>
      <c r="E125" s="447"/>
    </row>
    <row r="126" spans="1:6" x14ac:dyDescent="0.25">
      <c r="A126" s="445"/>
      <c r="B126" s="448"/>
      <c r="C126" s="447"/>
      <c r="D126" s="447"/>
      <c r="E126" s="447"/>
    </row>
    <row r="127" spans="1:6" x14ac:dyDescent="0.25">
      <c r="A127" s="445"/>
      <c r="B127" s="448"/>
      <c r="C127" s="447"/>
      <c r="D127" s="447"/>
      <c r="E127" s="447"/>
    </row>
    <row r="128" spans="1:6" x14ac:dyDescent="0.25">
      <c r="A128" s="445"/>
      <c r="B128" s="448"/>
      <c r="C128" s="447"/>
      <c r="D128" s="447"/>
      <c r="E128" s="447"/>
    </row>
    <row r="129" spans="1:5" x14ac:dyDescent="0.25">
      <c r="A129" s="445"/>
      <c r="B129" s="448"/>
      <c r="C129" s="447"/>
      <c r="D129" s="447"/>
      <c r="E129" s="447"/>
    </row>
    <row r="130" spans="1:5" x14ac:dyDescent="0.25">
      <c r="A130" s="445"/>
      <c r="B130" s="448"/>
      <c r="C130" s="447"/>
      <c r="D130" s="447"/>
      <c r="E130" s="447"/>
    </row>
    <row r="131" spans="1:5" x14ac:dyDescent="0.25">
      <c r="A131" s="445"/>
      <c r="B131" s="448"/>
      <c r="C131" s="447"/>
      <c r="D131" s="447"/>
      <c r="E131" s="447"/>
    </row>
    <row r="132" spans="1:5" x14ac:dyDescent="0.25">
      <c r="A132" s="445"/>
      <c r="B132" s="448"/>
      <c r="C132" s="447"/>
      <c r="D132" s="447"/>
      <c r="E132" s="447"/>
    </row>
    <row r="133" spans="1:5" x14ac:dyDescent="0.25">
      <c r="A133" s="445"/>
      <c r="B133" s="448"/>
      <c r="C133" s="447"/>
      <c r="D133" s="447"/>
      <c r="E133" s="447"/>
    </row>
    <row r="134" spans="1:5" x14ac:dyDescent="0.25">
      <c r="A134" s="445"/>
      <c r="B134" s="448"/>
      <c r="C134" s="447"/>
      <c r="D134" s="447"/>
      <c r="E134" s="447"/>
    </row>
    <row r="135" spans="1:5" x14ac:dyDescent="0.25">
      <c r="A135" s="445"/>
      <c r="B135" s="448"/>
      <c r="C135" s="447"/>
      <c r="D135" s="447"/>
      <c r="E135" s="447"/>
    </row>
    <row r="136" spans="1:5" x14ac:dyDescent="0.25">
      <c r="A136" s="445"/>
      <c r="B136" s="448"/>
      <c r="C136" s="447"/>
      <c r="D136" s="447"/>
      <c r="E136" s="447"/>
    </row>
    <row r="137" spans="1:5" x14ac:dyDescent="0.25">
      <c r="A137" s="445"/>
      <c r="B137" s="448"/>
      <c r="C137" s="447"/>
      <c r="D137" s="447"/>
      <c r="E137" s="447"/>
    </row>
    <row r="138" spans="1:5" x14ac:dyDescent="0.25">
      <c r="A138" s="445"/>
      <c r="B138" s="448"/>
      <c r="C138" s="447"/>
      <c r="D138" s="447"/>
      <c r="E138" s="447"/>
    </row>
    <row r="139" spans="1:5" x14ac:dyDescent="0.25">
      <c r="A139" s="445"/>
      <c r="B139" s="448"/>
      <c r="C139" s="447"/>
      <c r="D139" s="447"/>
      <c r="E139" s="447"/>
    </row>
    <row r="140" spans="1:5" x14ac:dyDescent="0.25">
      <c r="A140" s="445"/>
      <c r="B140" s="448"/>
      <c r="C140" s="447"/>
      <c r="D140" s="447"/>
      <c r="E140" s="447"/>
    </row>
    <row r="141" spans="1:5" x14ac:dyDescent="0.25">
      <c r="A141" s="445"/>
      <c r="B141" s="448"/>
      <c r="C141" s="447"/>
      <c r="D141" s="447"/>
      <c r="E141" s="447"/>
    </row>
    <row r="142" spans="1:5" x14ac:dyDescent="0.25">
      <c r="A142" s="445"/>
      <c r="B142" s="448"/>
      <c r="C142" s="447"/>
      <c r="D142" s="447"/>
      <c r="E142" s="447"/>
    </row>
    <row r="143" spans="1:5" x14ac:dyDescent="0.25">
      <c r="A143" s="445"/>
      <c r="B143" s="448"/>
      <c r="C143" s="447"/>
      <c r="D143" s="447"/>
      <c r="E143" s="447"/>
    </row>
    <row r="144" spans="1:5" x14ac:dyDescent="0.25">
      <c r="A144" s="445"/>
      <c r="B144" s="448"/>
      <c r="C144" s="447"/>
      <c r="D144" s="447"/>
      <c r="E144" s="447"/>
    </row>
    <row r="145" spans="1:7" x14ac:dyDescent="0.25">
      <c r="A145" s="445"/>
      <c r="B145" s="448"/>
      <c r="C145" s="447"/>
      <c r="D145" s="447"/>
      <c r="E145" s="447"/>
    </row>
    <row r="146" spans="1:7" x14ac:dyDescent="0.25">
      <c r="A146" s="445"/>
      <c r="B146" s="448"/>
      <c r="C146" s="447"/>
      <c r="D146" s="447"/>
      <c r="E146" s="447"/>
    </row>
    <row r="147" spans="1:7" x14ac:dyDescent="0.25">
      <c r="A147" s="445"/>
      <c r="B147" s="448"/>
      <c r="C147" s="447"/>
      <c r="D147" s="447"/>
      <c r="E147" s="447"/>
    </row>
    <row r="148" spans="1:7" x14ac:dyDescent="0.25">
      <c r="A148" s="445"/>
      <c r="B148" s="448"/>
      <c r="C148" s="447"/>
      <c r="D148" s="447"/>
      <c r="E148" s="447"/>
    </row>
    <row r="149" spans="1:7" x14ac:dyDescent="0.25">
      <c r="A149" s="445"/>
      <c r="B149" s="448"/>
      <c r="C149" s="447"/>
      <c r="D149" s="447"/>
      <c r="E149" s="447"/>
    </row>
    <row r="150" spans="1:7" x14ac:dyDescent="0.25">
      <c r="A150" s="445"/>
      <c r="B150" s="448"/>
      <c r="C150" s="447"/>
      <c r="D150" s="447"/>
      <c r="E150" s="447"/>
    </row>
    <row r="151" spans="1:7" x14ac:dyDescent="0.25">
      <c r="A151" s="445"/>
      <c r="B151" s="448"/>
      <c r="C151" s="447"/>
      <c r="D151" s="447"/>
      <c r="E151" s="447"/>
    </row>
    <row r="152" spans="1:7" x14ac:dyDescent="0.25">
      <c r="A152" s="445"/>
      <c r="B152" s="448"/>
      <c r="C152" s="447"/>
      <c r="D152" s="447"/>
      <c r="E152" s="447"/>
    </row>
    <row r="153" spans="1:7" x14ac:dyDescent="0.25">
      <c r="A153" s="445"/>
      <c r="B153" s="448"/>
      <c r="C153" s="447"/>
      <c r="D153" s="447"/>
      <c r="E153" s="447"/>
    </row>
    <row r="154" spans="1:7" x14ac:dyDescent="0.25">
      <c r="A154" s="445"/>
      <c r="B154" s="448"/>
      <c r="C154" s="447"/>
      <c r="D154" s="447"/>
      <c r="E154" s="447"/>
    </row>
    <row r="155" spans="1:7" x14ac:dyDescent="0.25">
      <c r="A155" s="445"/>
      <c r="B155" s="448"/>
      <c r="C155" s="447"/>
      <c r="D155" s="447"/>
      <c r="E155" s="447"/>
    </row>
    <row r="156" spans="1:7" x14ac:dyDescent="0.25">
      <c r="A156" s="445"/>
      <c r="B156" s="448"/>
      <c r="C156" s="447"/>
      <c r="D156" s="447"/>
      <c r="E156" s="447"/>
    </row>
    <row r="157" spans="1:7" x14ac:dyDescent="0.25">
      <c r="A157" s="445"/>
      <c r="B157" s="448"/>
      <c r="C157" s="447"/>
      <c r="D157" s="447"/>
      <c r="E157" s="447"/>
    </row>
    <row r="158" spans="1:7" x14ac:dyDescent="0.25">
      <c r="A158" s="445"/>
      <c r="B158" s="448"/>
      <c r="C158" s="447"/>
      <c r="D158" s="447"/>
      <c r="E158" s="447"/>
    </row>
    <row r="160" spans="1:7" x14ac:dyDescent="0.25">
      <c r="A160" s="449"/>
      <c r="B160" s="449"/>
      <c r="G160" s="450"/>
    </row>
    <row r="162" spans="1:5" x14ac:dyDescent="0.25">
      <c r="A162" s="451"/>
    </row>
    <row r="163" spans="1:5" x14ac:dyDescent="0.25">
      <c r="A163" s="452"/>
      <c r="B163" s="452"/>
      <c r="C163" s="452"/>
      <c r="D163" s="452"/>
      <c r="E163" s="452"/>
    </row>
    <row r="164" spans="1:5" x14ac:dyDescent="0.25">
      <c r="A164" s="445"/>
      <c r="B164" s="448"/>
      <c r="C164" s="447"/>
      <c r="D164" s="447"/>
      <c r="E164" s="447"/>
    </row>
    <row r="165" spans="1:5" x14ac:dyDescent="0.25">
      <c r="A165" s="445"/>
      <c r="B165" s="448"/>
      <c r="C165" s="447"/>
      <c r="D165" s="447"/>
      <c r="E165" s="447"/>
    </row>
    <row r="166" spans="1:5" x14ac:dyDescent="0.25">
      <c r="A166" s="445"/>
      <c r="B166" s="448"/>
      <c r="C166" s="447"/>
      <c r="D166" s="447"/>
      <c r="E166" s="447"/>
    </row>
    <row r="167" spans="1:5" x14ac:dyDescent="0.25">
      <c r="A167" s="445"/>
      <c r="B167" s="448"/>
      <c r="C167" s="447"/>
      <c r="D167" s="447"/>
      <c r="E167" s="447"/>
    </row>
    <row r="168" spans="1:5" x14ac:dyDescent="0.25">
      <c r="A168" s="445"/>
      <c r="B168" s="448"/>
      <c r="C168" s="447"/>
      <c r="D168" s="447"/>
      <c r="E168" s="447"/>
    </row>
    <row r="169" spans="1:5" x14ac:dyDescent="0.25">
      <c r="A169" s="445"/>
      <c r="B169" s="448"/>
      <c r="C169" s="447"/>
      <c r="D169" s="447"/>
      <c r="E169" s="447"/>
    </row>
    <row r="170" spans="1:5" x14ac:dyDescent="0.25">
      <c r="A170" s="445"/>
      <c r="B170" s="448"/>
      <c r="C170" s="447"/>
      <c r="D170" s="447"/>
      <c r="E170" s="447"/>
    </row>
    <row r="171" spans="1:5" x14ac:dyDescent="0.25">
      <c r="A171" s="445"/>
      <c r="B171" s="448"/>
      <c r="C171" s="447"/>
      <c r="D171" s="447"/>
      <c r="E171" s="447"/>
    </row>
    <row r="172" spans="1:5" x14ac:dyDescent="0.25">
      <c r="A172" s="445"/>
      <c r="B172" s="448"/>
      <c r="C172" s="447"/>
      <c r="D172" s="447"/>
      <c r="E172" s="447"/>
    </row>
    <row r="173" spans="1:5" x14ac:dyDescent="0.25">
      <c r="A173" s="445"/>
      <c r="B173" s="448"/>
      <c r="C173" s="447"/>
      <c r="D173" s="447"/>
      <c r="E173" s="447"/>
    </row>
    <row r="174" spans="1:5" x14ac:dyDescent="0.25">
      <c r="A174" s="445"/>
      <c r="B174" s="448"/>
      <c r="C174" s="447"/>
      <c r="D174" s="447"/>
      <c r="E174" s="447"/>
    </row>
    <row r="175" spans="1:5" x14ac:dyDescent="0.25">
      <c r="A175" s="445"/>
      <c r="B175" s="448"/>
      <c r="C175" s="447"/>
      <c r="D175" s="447"/>
      <c r="E175" s="447"/>
    </row>
    <row r="176" spans="1:5" x14ac:dyDescent="0.25">
      <c r="A176" s="445"/>
      <c r="B176" s="448"/>
      <c r="C176" s="447"/>
      <c r="D176" s="447"/>
      <c r="E176" s="447"/>
    </row>
    <row r="177" spans="1:5" x14ac:dyDescent="0.25">
      <c r="A177" s="445"/>
      <c r="B177" s="448"/>
      <c r="C177" s="447"/>
      <c r="D177" s="447"/>
      <c r="E177" s="447"/>
    </row>
    <row r="178" spans="1:5" x14ac:dyDescent="0.25">
      <c r="A178" s="445"/>
      <c r="B178" s="448"/>
      <c r="C178" s="447"/>
      <c r="D178" s="447"/>
      <c r="E178" s="447"/>
    </row>
    <row r="179" spans="1:5" x14ac:dyDescent="0.25">
      <c r="A179" s="445"/>
      <c r="B179" s="448"/>
      <c r="C179" s="447"/>
      <c r="D179" s="447"/>
      <c r="E179" s="447"/>
    </row>
    <row r="180" spans="1:5" x14ac:dyDescent="0.25">
      <c r="A180" s="445"/>
      <c r="B180" s="448"/>
      <c r="C180" s="447"/>
      <c r="D180" s="447"/>
      <c r="E180" s="447"/>
    </row>
    <row r="181" spans="1:5" x14ac:dyDescent="0.25">
      <c r="A181" s="445"/>
      <c r="B181" s="448"/>
      <c r="C181" s="447"/>
      <c r="D181" s="447"/>
      <c r="E181" s="447"/>
    </row>
    <row r="182" spans="1:5" x14ac:dyDescent="0.25">
      <c r="A182" s="445"/>
      <c r="B182" s="448"/>
      <c r="C182" s="447"/>
      <c r="D182" s="447"/>
      <c r="E182" s="447"/>
    </row>
    <row r="183" spans="1:5" x14ac:dyDescent="0.25">
      <c r="A183" s="445"/>
      <c r="B183" s="448"/>
      <c r="C183" s="447"/>
      <c r="D183" s="447"/>
      <c r="E183" s="447"/>
    </row>
    <row r="184" spans="1:5" x14ac:dyDescent="0.25">
      <c r="A184" s="445"/>
      <c r="B184" s="448"/>
      <c r="C184" s="447"/>
      <c r="D184" s="447"/>
      <c r="E184" s="447"/>
    </row>
    <row r="185" spans="1:5" x14ac:dyDescent="0.25">
      <c r="A185" s="445"/>
      <c r="B185" s="448"/>
      <c r="C185" s="447"/>
      <c r="D185" s="447"/>
      <c r="E185" s="447"/>
    </row>
    <row r="186" spans="1:5" x14ac:dyDescent="0.25">
      <c r="A186" s="445"/>
      <c r="B186" s="448"/>
      <c r="C186" s="447"/>
      <c r="D186" s="447"/>
      <c r="E186" s="447"/>
    </row>
    <row r="187" spans="1:5" x14ac:dyDescent="0.25">
      <c r="A187" s="445"/>
      <c r="B187" s="448"/>
      <c r="C187" s="447"/>
      <c r="D187" s="447"/>
      <c r="E187" s="447"/>
    </row>
    <row r="188" spans="1:5" x14ac:dyDescent="0.25">
      <c r="A188" s="445"/>
      <c r="B188" s="448"/>
      <c r="C188" s="447"/>
      <c r="D188" s="447"/>
      <c r="E188" s="447"/>
    </row>
    <row r="189" spans="1:5" x14ac:dyDescent="0.25">
      <c r="A189" s="445"/>
      <c r="B189" s="448"/>
      <c r="C189" s="447"/>
      <c r="D189" s="447"/>
      <c r="E189" s="447"/>
    </row>
    <row r="190" spans="1:5" x14ac:dyDescent="0.25">
      <c r="A190" s="445"/>
      <c r="B190" s="448"/>
      <c r="C190" s="447"/>
      <c r="D190" s="447"/>
      <c r="E190" s="447"/>
    </row>
    <row r="191" spans="1:5" x14ac:dyDescent="0.25">
      <c r="A191" s="445"/>
      <c r="B191" s="448"/>
      <c r="C191" s="447"/>
      <c r="D191" s="447"/>
      <c r="E191" s="447"/>
    </row>
    <row r="192" spans="1:5" x14ac:dyDescent="0.25">
      <c r="A192" s="445"/>
      <c r="B192" s="448"/>
      <c r="C192" s="447"/>
      <c r="D192" s="447"/>
      <c r="E192" s="447"/>
    </row>
    <row r="193" spans="1:5" x14ac:dyDescent="0.25">
      <c r="A193" s="445"/>
      <c r="B193" s="448"/>
      <c r="C193" s="447"/>
      <c r="D193" s="447"/>
      <c r="E193" s="447"/>
    </row>
    <row r="194" spans="1:5" x14ac:dyDescent="0.25">
      <c r="A194" s="445"/>
      <c r="B194" s="448"/>
      <c r="C194" s="447"/>
      <c r="D194" s="447"/>
      <c r="E194" s="447"/>
    </row>
    <row r="195" spans="1:5" x14ac:dyDescent="0.25">
      <c r="A195" s="445"/>
      <c r="B195" s="448"/>
      <c r="C195" s="447"/>
      <c r="D195" s="447"/>
      <c r="E195" s="447"/>
    </row>
    <row r="196" spans="1:5" x14ac:dyDescent="0.25">
      <c r="A196" s="445"/>
      <c r="B196" s="448"/>
      <c r="C196" s="447"/>
      <c r="D196" s="447"/>
      <c r="E196" s="447"/>
    </row>
    <row r="197" spans="1:5" x14ac:dyDescent="0.25">
      <c r="A197" s="445"/>
      <c r="B197" s="448"/>
      <c r="C197" s="447"/>
      <c r="D197" s="447"/>
      <c r="E197" s="447"/>
    </row>
    <row r="198" spans="1:5" x14ac:dyDescent="0.25">
      <c r="A198" s="445"/>
      <c r="B198" s="448"/>
      <c r="C198" s="447"/>
      <c r="D198" s="447"/>
      <c r="E198" s="447"/>
    </row>
    <row r="199" spans="1:5" x14ac:dyDescent="0.25">
      <c r="A199" s="445"/>
      <c r="B199" s="448"/>
      <c r="C199" s="447"/>
      <c r="D199" s="447"/>
      <c r="E199" s="447"/>
    </row>
    <row r="200" spans="1:5" x14ac:dyDescent="0.25">
      <c r="A200" s="445"/>
      <c r="B200" s="448"/>
      <c r="C200" s="447"/>
      <c r="D200" s="447"/>
      <c r="E200" s="447"/>
    </row>
    <row r="201" spans="1:5" x14ac:dyDescent="0.25">
      <c r="A201" s="445"/>
      <c r="B201" s="448"/>
      <c r="C201" s="447"/>
      <c r="D201" s="447"/>
      <c r="E201" s="447"/>
    </row>
    <row r="202" spans="1:5" x14ac:dyDescent="0.25">
      <c r="A202" s="445"/>
      <c r="B202" s="448"/>
      <c r="C202" s="447"/>
      <c r="D202" s="447"/>
      <c r="E202" s="447"/>
    </row>
    <row r="203" spans="1:5" x14ac:dyDescent="0.25">
      <c r="A203" s="445"/>
      <c r="B203" s="448"/>
      <c r="C203" s="447"/>
      <c r="D203" s="447"/>
      <c r="E203" s="447"/>
    </row>
    <row r="204" spans="1:5" x14ac:dyDescent="0.25">
      <c r="A204" s="445"/>
      <c r="B204" s="448"/>
      <c r="C204" s="447"/>
      <c r="D204" s="447"/>
      <c r="E204" s="447"/>
    </row>
    <row r="205" spans="1:5" x14ac:dyDescent="0.25">
      <c r="A205" s="445"/>
      <c r="B205" s="448"/>
      <c r="C205" s="447"/>
      <c r="D205" s="447"/>
      <c r="E205" s="447"/>
    </row>
    <row r="206" spans="1:5" x14ac:dyDescent="0.25">
      <c r="A206" s="445"/>
      <c r="B206" s="448"/>
      <c r="C206" s="447"/>
      <c r="D206" s="447"/>
      <c r="E206" s="447"/>
    </row>
    <row r="207" spans="1:5" x14ac:dyDescent="0.25">
      <c r="A207" s="445"/>
      <c r="B207" s="448"/>
      <c r="C207" s="447"/>
      <c r="D207" s="447"/>
      <c r="E207" s="447"/>
    </row>
    <row r="208" spans="1:5" x14ac:dyDescent="0.25">
      <c r="A208" s="445"/>
      <c r="B208" s="448"/>
      <c r="C208" s="447"/>
      <c r="D208" s="447"/>
      <c r="E208" s="447"/>
    </row>
    <row r="209" spans="1:5" x14ac:dyDescent="0.25">
      <c r="A209" s="445"/>
      <c r="B209" s="448"/>
      <c r="C209" s="447"/>
      <c r="D209" s="447"/>
      <c r="E209" s="447"/>
    </row>
    <row r="210" spans="1:5" x14ac:dyDescent="0.25">
      <c r="A210" s="445"/>
      <c r="B210" s="448"/>
      <c r="C210" s="447"/>
      <c r="D210" s="447"/>
      <c r="E210" s="447"/>
    </row>
    <row r="211" spans="1:5" x14ac:dyDescent="0.25">
      <c r="A211" s="445"/>
      <c r="B211" s="448"/>
      <c r="C211" s="447"/>
      <c r="D211" s="447"/>
      <c r="E211" s="447"/>
    </row>
    <row r="212" spans="1:5" x14ac:dyDescent="0.25">
      <c r="A212" s="445"/>
      <c r="B212" s="448"/>
      <c r="C212" s="447"/>
      <c r="D212" s="447"/>
      <c r="E212" s="447"/>
    </row>
    <row r="213" spans="1:5" x14ac:dyDescent="0.25">
      <c r="A213" s="445"/>
      <c r="B213" s="448"/>
      <c r="C213" s="447"/>
      <c r="D213" s="447"/>
      <c r="E213" s="447"/>
    </row>
    <row r="214" spans="1:5" x14ac:dyDescent="0.25">
      <c r="A214" s="445"/>
      <c r="B214" s="448"/>
      <c r="C214" s="447"/>
      <c r="D214" s="447"/>
      <c r="E214" s="447"/>
    </row>
    <row r="215" spans="1:5" x14ac:dyDescent="0.25">
      <c r="A215" s="445"/>
      <c r="B215" s="448"/>
      <c r="C215" s="447"/>
      <c r="D215" s="447"/>
      <c r="E215" s="447"/>
    </row>
    <row r="216" spans="1:5" x14ac:dyDescent="0.25">
      <c r="A216" s="445"/>
      <c r="B216" s="448"/>
      <c r="C216" s="447"/>
      <c r="D216" s="447"/>
      <c r="E216" s="447"/>
    </row>
    <row r="217" spans="1:5" x14ac:dyDescent="0.25">
      <c r="A217" s="445"/>
      <c r="B217" s="448"/>
      <c r="C217" s="447"/>
      <c r="D217" s="447"/>
      <c r="E217" s="447"/>
    </row>
    <row r="218" spans="1:5" x14ac:dyDescent="0.25">
      <c r="A218" s="445"/>
      <c r="B218" s="448"/>
      <c r="C218" s="447"/>
      <c r="D218" s="447"/>
      <c r="E218" s="447"/>
    </row>
    <row r="219" spans="1:5" x14ac:dyDescent="0.25">
      <c r="A219" s="445"/>
      <c r="B219" s="448"/>
      <c r="C219" s="447"/>
      <c r="D219" s="447"/>
      <c r="E219" s="447"/>
    </row>
    <row r="220" spans="1:5" x14ac:dyDescent="0.25">
      <c r="A220" s="445"/>
      <c r="B220" s="448"/>
      <c r="C220" s="447"/>
      <c r="D220" s="447"/>
      <c r="E220" s="447"/>
    </row>
    <row r="221" spans="1:5" x14ac:dyDescent="0.25">
      <c r="A221" s="445"/>
      <c r="B221" s="448"/>
      <c r="C221" s="447"/>
      <c r="D221" s="447"/>
      <c r="E221" s="447"/>
    </row>
    <row r="222" spans="1:5" x14ac:dyDescent="0.25">
      <c r="A222" s="445"/>
      <c r="B222" s="448"/>
      <c r="C222" s="447"/>
      <c r="D222" s="447"/>
      <c r="E222" s="447"/>
    </row>
    <row r="223" spans="1:5" x14ac:dyDescent="0.25">
      <c r="A223" s="445"/>
      <c r="B223" s="448"/>
      <c r="C223" s="447"/>
      <c r="D223" s="447"/>
      <c r="E223" s="447"/>
    </row>
    <row r="224" spans="1:5" x14ac:dyDescent="0.25">
      <c r="A224" s="445"/>
      <c r="B224" s="448"/>
      <c r="C224" s="447"/>
      <c r="D224" s="447"/>
      <c r="E224" s="447"/>
    </row>
    <row r="225" spans="1:7" x14ac:dyDescent="0.25">
      <c r="A225" s="445"/>
      <c r="B225" s="448"/>
      <c r="C225" s="447"/>
      <c r="D225" s="447"/>
      <c r="E225" s="447"/>
    </row>
    <row r="226" spans="1:7" x14ac:dyDescent="0.25">
      <c r="A226" s="445"/>
      <c r="B226" s="448"/>
      <c r="C226" s="447"/>
      <c r="D226" s="447"/>
      <c r="E226" s="447"/>
    </row>
    <row r="227" spans="1:7" x14ac:dyDescent="0.25">
      <c r="A227" s="445"/>
      <c r="B227" s="448"/>
      <c r="C227" s="447"/>
      <c r="D227" s="447"/>
      <c r="E227" s="447"/>
    </row>
    <row r="228" spans="1:7" x14ac:dyDescent="0.25">
      <c r="F228" s="453"/>
    </row>
    <row r="230" spans="1:7" x14ac:dyDescent="0.25">
      <c r="A230" s="449"/>
      <c r="B230" s="449"/>
      <c r="G230" s="450"/>
    </row>
    <row r="232" spans="1:7" x14ac:dyDescent="0.25">
      <c r="A232" s="451"/>
    </row>
    <row r="233" spans="1:7" x14ac:dyDescent="0.25">
      <c r="A233" s="452"/>
      <c r="B233" s="452"/>
      <c r="C233" s="452"/>
      <c r="D233" s="452"/>
      <c r="E233" s="452"/>
    </row>
    <row r="234" spans="1:7" x14ac:dyDescent="0.25">
      <c r="A234" s="445"/>
      <c r="B234" s="448"/>
      <c r="C234" s="447"/>
      <c r="D234" s="447"/>
      <c r="E234" s="447"/>
    </row>
    <row r="235" spans="1:7" x14ac:dyDescent="0.25">
      <c r="A235" s="445"/>
      <c r="B235" s="448"/>
      <c r="C235" s="447"/>
      <c r="D235" s="447"/>
      <c r="E235" s="447"/>
    </row>
    <row r="236" spans="1:7" x14ac:dyDescent="0.25">
      <c r="A236" s="445"/>
      <c r="B236" s="448"/>
      <c r="C236" s="447"/>
      <c r="D236" s="447"/>
      <c r="E236" s="447"/>
    </row>
    <row r="237" spans="1:7" x14ac:dyDescent="0.25">
      <c r="A237" s="445"/>
      <c r="B237" s="448"/>
      <c r="C237" s="447"/>
      <c r="D237" s="447"/>
      <c r="E237" s="447"/>
    </row>
    <row r="238" spans="1:7" x14ac:dyDescent="0.25">
      <c r="A238" s="445"/>
      <c r="B238" s="448"/>
      <c r="C238" s="447"/>
      <c r="D238" s="447"/>
      <c r="E238" s="447"/>
    </row>
    <row r="239" spans="1:7" x14ac:dyDescent="0.25">
      <c r="A239" s="445"/>
      <c r="B239" s="448"/>
      <c r="C239" s="447"/>
      <c r="D239" s="447"/>
      <c r="E239" s="447"/>
    </row>
    <row r="240" spans="1:7" x14ac:dyDescent="0.25">
      <c r="A240" s="445"/>
      <c r="B240" s="448"/>
      <c r="C240" s="447"/>
      <c r="D240" s="447"/>
      <c r="E240" s="447"/>
    </row>
    <row r="241" spans="1:5" x14ac:dyDescent="0.25">
      <c r="A241" s="445"/>
      <c r="B241" s="448"/>
      <c r="C241" s="447"/>
      <c r="D241" s="447"/>
      <c r="E241" s="447"/>
    </row>
    <row r="242" spans="1:5" x14ac:dyDescent="0.25">
      <c r="A242" s="445"/>
      <c r="B242" s="448"/>
      <c r="C242" s="447"/>
      <c r="D242" s="447"/>
      <c r="E242" s="447"/>
    </row>
    <row r="243" spans="1:5" x14ac:dyDescent="0.25">
      <c r="A243" s="445"/>
      <c r="B243" s="448"/>
      <c r="C243" s="447"/>
      <c r="D243" s="447"/>
      <c r="E243" s="447"/>
    </row>
    <row r="244" spans="1:5" x14ac:dyDescent="0.25">
      <c r="A244" s="445"/>
      <c r="B244" s="448"/>
      <c r="C244" s="447"/>
      <c r="D244" s="447"/>
      <c r="E244" s="447"/>
    </row>
    <row r="245" spans="1:5" x14ac:dyDescent="0.25">
      <c r="A245" s="445"/>
      <c r="B245" s="448"/>
      <c r="C245" s="447"/>
      <c r="D245" s="447"/>
      <c r="E245" s="447"/>
    </row>
    <row r="246" spans="1:5" x14ac:dyDescent="0.25">
      <c r="A246" s="445"/>
      <c r="B246" s="448"/>
      <c r="C246" s="447"/>
      <c r="D246" s="447"/>
      <c r="E246" s="447"/>
    </row>
    <row r="247" spans="1:5" x14ac:dyDescent="0.25">
      <c r="A247" s="445"/>
      <c r="B247" s="448"/>
      <c r="C247" s="447"/>
      <c r="D247" s="447"/>
      <c r="E247" s="447"/>
    </row>
    <row r="248" spans="1:5" x14ac:dyDescent="0.25">
      <c r="A248" s="445"/>
      <c r="B248" s="448"/>
      <c r="C248" s="447"/>
      <c r="D248" s="447"/>
      <c r="E248" s="447"/>
    </row>
    <row r="249" spans="1:5" x14ac:dyDescent="0.25">
      <c r="A249" s="445"/>
      <c r="B249" s="448"/>
      <c r="C249" s="447"/>
      <c r="D249" s="447"/>
      <c r="E249" s="447"/>
    </row>
    <row r="250" spans="1:5" x14ac:dyDescent="0.25">
      <c r="A250" s="445"/>
      <c r="B250" s="448"/>
      <c r="C250" s="447"/>
      <c r="D250" s="447"/>
      <c r="E250" s="447"/>
    </row>
    <row r="251" spans="1:5" x14ac:dyDescent="0.25">
      <c r="A251" s="445"/>
      <c r="B251" s="448"/>
      <c r="C251" s="447"/>
      <c r="D251" s="447"/>
      <c r="E251" s="447"/>
    </row>
    <row r="252" spans="1:5" x14ac:dyDescent="0.25">
      <c r="A252" s="445"/>
      <c r="B252" s="448"/>
      <c r="C252" s="447"/>
      <c r="D252" s="447"/>
      <c r="E252" s="447"/>
    </row>
    <row r="253" spans="1:5" x14ac:dyDescent="0.25">
      <c r="A253" s="445"/>
      <c r="B253" s="448"/>
      <c r="C253" s="447"/>
      <c r="D253" s="447"/>
      <c r="E253" s="447"/>
    </row>
    <row r="254" spans="1:5" x14ac:dyDescent="0.25">
      <c r="A254" s="445"/>
      <c r="B254" s="448"/>
      <c r="C254" s="447"/>
      <c r="D254" s="447"/>
      <c r="E254" s="447"/>
    </row>
    <row r="255" spans="1:5" x14ac:dyDescent="0.25">
      <c r="A255" s="445"/>
      <c r="B255" s="448"/>
      <c r="C255" s="447"/>
      <c r="D255" s="447"/>
      <c r="E255" s="447"/>
    </row>
    <row r="256" spans="1:5" x14ac:dyDescent="0.25">
      <c r="A256" s="445"/>
      <c r="B256" s="448"/>
      <c r="C256" s="447"/>
      <c r="D256" s="447"/>
      <c r="E256" s="447"/>
    </row>
    <row r="257" spans="1:5" x14ac:dyDescent="0.25">
      <c r="A257" s="445"/>
      <c r="B257" s="448"/>
      <c r="C257" s="447"/>
      <c r="D257" s="447"/>
      <c r="E257" s="447"/>
    </row>
    <row r="258" spans="1:5" x14ac:dyDescent="0.25">
      <c r="A258" s="445"/>
      <c r="B258" s="448"/>
      <c r="C258" s="447"/>
      <c r="D258" s="447"/>
      <c r="E258" s="447"/>
    </row>
    <row r="259" spans="1:5" x14ac:dyDescent="0.25">
      <c r="A259" s="445"/>
      <c r="B259" s="448"/>
      <c r="C259" s="447"/>
      <c r="D259" s="447"/>
      <c r="E259" s="447"/>
    </row>
    <row r="260" spans="1:5" x14ac:dyDescent="0.25">
      <c r="A260" s="445"/>
      <c r="B260" s="448"/>
      <c r="C260" s="447"/>
      <c r="D260" s="447"/>
      <c r="E260" s="447"/>
    </row>
    <row r="261" spans="1:5" x14ac:dyDescent="0.25">
      <c r="A261" s="445"/>
      <c r="B261" s="448"/>
      <c r="C261" s="447"/>
      <c r="D261" s="447"/>
      <c r="E261" s="447"/>
    </row>
    <row r="262" spans="1:5" x14ac:dyDescent="0.25">
      <c r="A262" s="445"/>
      <c r="B262" s="448"/>
      <c r="C262" s="447"/>
      <c r="D262" s="447"/>
      <c r="E262" s="447"/>
    </row>
    <row r="263" spans="1:5" x14ac:dyDescent="0.25">
      <c r="A263" s="445"/>
      <c r="B263" s="448"/>
      <c r="C263" s="447"/>
      <c r="D263" s="447"/>
      <c r="E263" s="447"/>
    </row>
    <row r="264" spans="1:5" x14ac:dyDescent="0.25">
      <c r="A264" s="445"/>
      <c r="B264" s="448"/>
      <c r="C264" s="447"/>
      <c r="D264" s="447"/>
      <c r="E264" s="447"/>
    </row>
    <row r="265" spans="1:5" x14ac:dyDescent="0.25">
      <c r="A265" s="445"/>
      <c r="B265" s="448"/>
      <c r="C265" s="447"/>
      <c r="D265" s="447"/>
      <c r="E265" s="447"/>
    </row>
    <row r="266" spans="1:5" x14ac:dyDescent="0.25">
      <c r="A266" s="445"/>
      <c r="B266" s="448"/>
      <c r="C266" s="447"/>
      <c r="D266" s="447"/>
      <c r="E266" s="447"/>
    </row>
    <row r="267" spans="1:5" x14ac:dyDescent="0.25">
      <c r="A267" s="445"/>
      <c r="B267" s="448"/>
      <c r="C267" s="447"/>
      <c r="D267" s="447"/>
      <c r="E267" s="447"/>
    </row>
    <row r="268" spans="1:5" x14ac:dyDescent="0.25">
      <c r="A268" s="445"/>
      <c r="B268" s="448"/>
      <c r="C268" s="447"/>
      <c r="D268" s="447"/>
      <c r="E268" s="447"/>
    </row>
    <row r="269" spans="1:5" x14ac:dyDescent="0.25">
      <c r="A269" s="445"/>
      <c r="B269" s="448"/>
      <c r="C269" s="447"/>
      <c r="D269" s="447"/>
      <c r="E269" s="447"/>
    </row>
    <row r="270" spans="1:5" x14ac:dyDescent="0.25">
      <c r="A270" s="445"/>
      <c r="B270" s="448"/>
      <c r="C270" s="447"/>
      <c r="D270" s="447"/>
      <c r="E270" s="447"/>
    </row>
    <row r="271" spans="1:5" x14ac:dyDescent="0.25">
      <c r="A271" s="445"/>
      <c r="B271" s="448"/>
      <c r="C271" s="447"/>
      <c r="D271" s="447"/>
      <c r="E271" s="447"/>
    </row>
    <row r="272" spans="1:5" x14ac:dyDescent="0.25">
      <c r="A272" s="445"/>
      <c r="B272" s="448"/>
      <c r="C272" s="447"/>
      <c r="D272" s="447"/>
      <c r="E272" s="447"/>
    </row>
    <row r="273" spans="1:5" x14ac:dyDescent="0.25">
      <c r="A273" s="445"/>
      <c r="B273" s="448"/>
      <c r="C273" s="447"/>
      <c r="D273" s="447"/>
      <c r="E273" s="447"/>
    </row>
    <row r="274" spans="1:5" x14ac:dyDescent="0.25">
      <c r="A274" s="445"/>
      <c r="B274" s="448"/>
      <c r="C274" s="447"/>
      <c r="D274" s="447"/>
      <c r="E274" s="447"/>
    </row>
    <row r="275" spans="1:5" x14ac:dyDescent="0.25">
      <c r="A275" s="445"/>
      <c r="B275" s="448"/>
      <c r="C275" s="447"/>
      <c r="D275" s="447"/>
      <c r="E275" s="447"/>
    </row>
    <row r="276" spans="1:5" x14ac:dyDescent="0.25">
      <c r="A276" s="445"/>
      <c r="B276" s="448"/>
      <c r="C276" s="447"/>
      <c r="D276" s="447"/>
      <c r="E276" s="447"/>
    </row>
    <row r="277" spans="1:5" x14ac:dyDescent="0.25">
      <c r="A277" s="445"/>
      <c r="B277" s="448"/>
      <c r="C277" s="447"/>
      <c r="D277" s="447"/>
      <c r="E277" s="447"/>
    </row>
    <row r="278" spans="1:5" x14ac:dyDescent="0.25">
      <c r="A278" s="445"/>
      <c r="B278" s="448"/>
      <c r="C278" s="447"/>
      <c r="D278" s="447"/>
      <c r="E278" s="447"/>
    </row>
    <row r="279" spans="1:5" x14ac:dyDescent="0.25">
      <c r="A279" s="445"/>
      <c r="B279" s="448"/>
      <c r="C279" s="447"/>
      <c r="D279" s="447"/>
      <c r="E279" s="447"/>
    </row>
    <row r="280" spans="1:5" x14ac:dyDescent="0.25">
      <c r="A280" s="445"/>
      <c r="B280" s="448"/>
      <c r="C280" s="447"/>
      <c r="D280" s="447"/>
      <c r="E280" s="447"/>
    </row>
    <row r="281" spans="1:5" x14ac:dyDescent="0.25">
      <c r="A281" s="445"/>
      <c r="B281" s="448"/>
      <c r="C281" s="447"/>
      <c r="D281" s="447"/>
      <c r="E281" s="447"/>
    </row>
    <row r="282" spans="1:5" x14ac:dyDescent="0.25">
      <c r="A282" s="445"/>
      <c r="B282" s="448"/>
      <c r="C282" s="447"/>
      <c r="D282" s="447"/>
      <c r="E282" s="447"/>
    </row>
    <row r="283" spans="1:5" x14ac:dyDescent="0.25">
      <c r="A283" s="445"/>
      <c r="B283" s="448"/>
      <c r="C283" s="447"/>
      <c r="D283" s="447"/>
      <c r="E283" s="447"/>
    </row>
    <row r="284" spans="1:5" x14ac:dyDescent="0.25">
      <c r="A284" s="445"/>
      <c r="B284" s="448"/>
      <c r="C284" s="447"/>
      <c r="D284" s="447"/>
      <c r="E284" s="447"/>
    </row>
    <row r="285" spans="1:5" x14ac:dyDescent="0.25">
      <c r="A285" s="445"/>
      <c r="B285" s="448"/>
      <c r="C285" s="447"/>
      <c r="D285" s="447"/>
      <c r="E285" s="447"/>
    </row>
    <row r="286" spans="1:5" x14ac:dyDescent="0.25">
      <c r="A286" s="445"/>
      <c r="B286" s="448"/>
      <c r="C286" s="447"/>
      <c r="D286" s="447"/>
      <c r="E286" s="447"/>
    </row>
    <row r="287" spans="1:5" x14ac:dyDescent="0.25">
      <c r="A287" s="445"/>
      <c r="B287" s="448"/>
      <c r="C287" s="447"/>
      <c r="D287" s="447"/>
      <c r="E287" s="447"/>
    </row>
    <row r="288" spans="1:5" x14ac:dyDescent="0.25">
      <c r="A288" s="445"/>
      <c r="B288" s="448"/>
      <c r="C288" s="447"/>
      <c r="D288" s="447"/>
      <c r="E288" s="447"/>
    </row>
    <row r="289" spans="1:7" x14ac:dyDescent="0.25">
      <c r="A289" s="445"/>
      <c r="B289" s="448"/>
      <c r="C289" s="447"/>
      <c r="D289" s="447"/>
      <c r="E289" s="447"/>
    </row>
    <row r="290" spans="1:7" x14ac:dyDescent="0.25">
      <c r="A290" s="445"/>
      <c r="B290" s="448"/>
      <c r="C290" s="447"/>
      <c r="D290" s="447"/>
      <c r="E290" s="447"/>
    </row>
    <row r="291" spans="1:7" x14ac:dyDescent="0.25">
      <c r="A291" s="445"/>
      <c r="B291" s="448"/>
      <c r="C291" s="447"/>
      <c r="D291" s="447"/>
      <c r="E291" s="447"/>
    </row>
    <row r="292" spans="1:7" x14ac:dyDescent="0.25">
      <c r="A292" s="445"/>
      <c r="B292" s="448"/>
      <c r="C292" s="447"/>
      <c r="D292" s="447"/>
      <c r="E292" s="447"/>
    </row>
    <row r="293" spans="1:7" x14ac:dyDescent="0.25">
      <c r="A293" s="445"/>
      <c r="B293" s="448"/>
      <c r="C293" s="447"/>
      <c r="D293" s="447"/>
      <c r="E293" s="447"/>
    </row>
    <row r="294" spans="1:7" x14ac:dyDescent="0.25">
      <c r="A294" s="445"/>
      <c r="B294" s="448"/>
      <c r="C294" s="447"/>
      <c r="D294" s="447"/>
      <c r="E294" s="447"/>
    </row>
    <row r="295" spans="1:7" x14ac:dyDescent="0.25">
      <c r="A295" s="445"/>
      <c r="B295" s="448"/>
      <c r="C295" s="447"/>
      <c r="D295" s="447"/>
      <c r="E295" s="447"/>
    </row>
    <row r="296" spans="1:7" x14ac:dyDescent="0.25">
      <c r="A296" s="445"/>
      <c r="B296" s="448"/>
      <c r="C296" s="447"/>
      <c r="D296" s="447"/>
      <c r="E296" s="447"/>
    </row>
    <row r="297" spans="1:7" x14ac:dyDescent="0.25">
      <c r="A297" s="445"/>
      <c r="B297" s="448"/>
      <c r="C297" s="447"/>
      <c r="D297" s="447"/>
      <c r="E297" s="447"/>
    </row>
    <row r="298" spans="1:7" x14ac:dyDescent="0.25">
      <c r="A298" s="445"/>
      <c r="B298" s="448"/>
      <c r="C298" s="447"/>
      <c r="D298" s="447"/>
      <c r="E298" s="447"/>
    </row>
    <row r="299" spans="1:7" x14ac:dyDescent="0.25">
      <c r="A299" s="445"/>
      <c r="B299" s="448"/>
      <c r="C299" s="447"/>
      <c r="D299" s="447"/>
      <c r="E299" s="447"/>
    </row>
    <row r="301" spans="1:7" x14ac:dyDescent="0.25">
      <c r="A301" s="449"/>
      <c r="B301" s="449"/>
      <c r="G301" s="450"/>
    </row>
    <row r="303" spans="1:7" x14ac:dyDescent="0.25">
      <c r="A303" s="451"/>
    </row>
    <row r="304" spans="1:7" x14ac:dyDescent="0.25">
      <c r="A304" s="452"/>
      <c r="B304" s="452"/>
      <c r="C304" s="452"/>
      <c r="D304" s="452"/>
      <c r="E304" s="452"/>
    </row>
    <row r="305" spans="1:5" x14ac:dyDescent="0.25">
      <c r="A305" s="445"/>
      <c r="B305" s="448"/>
      <c r="C305" s="447"/>
      <c r="D305" s="447"/>
      <c r="E305" s="447"/>
    </row>
    <row r="306" spans="1:5" x14ac:dyDescent="0.25">
      <c r="A306" s="445"/>
      <c r="B306" s="448"/>
      <c r="C306" s="447"/>
      <c r="D306" s="447"/>
      <c r="E306" s="447"/>
    </row>
    <row r="307" spans="1:5" x14ac:dyDescent="0.25">
      <c r="A307" s="445"/>
      <c r="B307" s="448"/>
      <c r="C307" s="447"/>
      <c r="D307" s="447"/>
      <c r="E307" s="447"/>
    </row>
    <row r="308" spans="1:5" x14ac:dyDescent="0.25">
      <c r="A308" s="445"/>
      <c r="B308" s="448"/>
      <c r="C308" s="447"/>
      <c r="D308" s="447"/>
      <c r="E308" s="447"/>
    </row>
    <row r="309" spans="1:5" x14ac:dyDescent="0.25">
      <c r="A309" s="445"/>
      <c r="B309" s="448"/>
      <c r="C309" s="447"/>
      <c r="D309" s="447"/>
      <c r="E309" s="447"/>
    </row>
    <row r="310" spans="1:5" x14ac:dyDescent="0.25">
      <c r="A310" s="445"/>
      <c r="B310" s="448"/>
      <c r="C310" s="447"/>
      <c r="D310" s="447"/>
      <c r="E310" s="447"/>
    </row>
    <row r="311" spans="1:5" x14ac:dyDescent="0.25">
      <c r="A311" s="445"/>
      <c r="B311" s="448"/>
      <c r="C311" s="447"/>
      <c r="D311" s="447"/>
      <c r="E311" s="447"/>
    </row>
    <row r="312" spans="1:5" x14ac:dyDescent="0.25">
      <c r="A312" s="445"/>
      <c r="B312" s="448"/>
      <c r="C312" s="447"/>
      <c r="D312" s="447"/>
      <c r="E312" s="447"/>
    </row>
    <row r="313" spans="1:5" x14ac:dyDescent="0.25">
      <c r="A313" s="445"/>
      <c r="B313" s="448"/>
      <c r="C313" s="447"/>
      <c r="D313" s="447"/>
      <c r="E313" s="447"/>
    </row>
    <row r="314" spans="1:5" x14ac:dyDescent="0.25">
      <c r="A314" s="445"/>
      <c r="B314" s="448"/>
      <c r="C314" s="447"/>
      <c r="D314" s="447"/>
      <c r="E314" s="447"/>
    </row>
    <row r="315" spans="1:5" x14ac:dyDescent="0.25">
      <c r="A315" s="445"/>
      <c r="B315" s="448"/>
      <c r="C315" s="447"/>
      <c r="D315" s="447"/>
      <c r="E315" s="447"/>
    </row>
    <row r="316" spans="1:5" x14ac:dyDescent="0.25">
      <c r="A316" s="445"/>
      <c r="B316" s="448"/>
      <c r="C316" s="447"/>
      <c r="D316" s="447"/>
      <c r="E316" s="447"/>
    </row>
    <row r="317" spans="1:5" x14ac:dyDescent="0.25">
      <c r="A317" s="445"/>
      <c r="B317" s="448"/>
      <c r="C317" s="447"/>
      <c r="D317" s="447"/>
      <c r="E317" s="447"/>
    </row>
    <row r="318" spans="1:5" x14ac:dyDescent="0.25">
      <c r="A318" s="445"/>
      <c r="B318" s="448"/>
      <c r="C318" s="447"/>
      <c r="D318" s="447"/>
      <c r="E318" s="447"/>
    </row>
    <row r="319" spans="1:5" x14ac:dyDescent="0.25">
      <c r="A319" s="445"/>
      <c r="B319" s="448"/>
      <c r="C319" s="447"/>
      <c r="D319" s="447"/>
      <c r="E319" s="447"/>
    </row>
    <row r="320" spans="1:5" x14ac:dyDescent="0.25">
      <c r="A320" s="445"/>
      <c r="B320" s="448"/>
      <c r="C320" s="447"/>
      <c r="D320" s="447"/>
      <c r="E320" s="447"/>
    </row>
    <row r="321" spans="1:5" x14ac:dyDescent="0.25">
      <c r="A321" s="445"/>
      <c r="B321" s="448"/>
      <c r="C321" s="447"/>
      <c r="D321" s="447"/>
      <c r="E321" s="447"/>
    </row>
    <row r="322" spans="1:5" x14ac:dyDescent="0.25">
      <c r="A322" s="445"/>
      <c r="B322" s="448"/>
      <c r="C322" s="447"/>
      <c r="D322" s="447"/>
      <c r="E322" s="447"/>
    </row>
    <row r="323" spans="1:5" x14ac:dyDescent="0.25">
      <c r="A323" s="445"/>
      <c r="B323" s="448"/>
      <c r="C323" s="447"/>
      <c r="D323" s="447"/>
      <c r="E323" s="447"/>
    </row>
    <row r="324" spans="1:5" x14ac:dyDescent="0.25">
      <c r="A324" s="445"/>
      <c r="B324" s="448"/>
      <c r="C324" s="447"/>
      <c r="D324" s="447"/>
      <c r="E324" s="447"/>
    </row>
    <row r="325" spans="1:5" x14ac:dyDescent="0.25">
      <c r="A325" s="445"/>
      <c r="B325" s="448"/>
      <c r="C325" s="447"/>
      <c r="D325" s="447"/>
      <c r="E325" s="447"/>
    </row>
    <row r="326" spans="1:5" x14ac:dyDescent="0.25">
      <c r="A326" s="445"/>
      <c r="B326" s="448"/>
      <c r="C326" s="447"/>
      <c r="D326" s="447"/>
      <c r="E326" s="447"/>
    </row>
    <row r="327" spans="1:5" x14ac:dyDescent="0.25">
      <c r="A327" s="445"/>
      <c r="B327" s="448"/>
      <c r="C327" s="447"/>
      <c r="D327" s="447"/>
      <c r="E327" s="447"/>
    </row>
    <row r="328" spans="1:5" x14ac:dyDescent="0.25">
      <c r="A328" s="445"/>
      <c r="B328" s="448"/>
      <c r="C328" s="447"/>
      <c r="D328" s="447"/>
      <c r="E328" s="447"/>
    </row>
    <row r="329" spans="1:5" x14ac:dyDescent="0.25">
      <c r="A329" s="445"/>
      <c r="B329" s="448"/>
      <c r="C329" s="447"/>
      <c r="D329" s="447"/>
      <c r="E329" s="447"/>
    </row>
    <row r="330" spans="1:5" x14ac:dyDescent="0.25">
      <c r="A330" s="445"/>
      <c r="B330" s="448"/>
      <c r="C330" s="447"/>
      <c r="D330" s="447"/>
      <c r="E330" s="447"/>
    </row>
    <row r="331" spans="1:5" x14ac:dyDescent="0.25">
      <c r="A331" s="445"/>
      <c r="B331" s="448"/>
      <c r="C331" s="447"/>
      <c r="D331" s="447"/>
      <c r="E331" s="447"/>
    </row>
    <row r="332" spans="1:5" x14ac:dyDescent="0.25">
      <c r="A332" s="445"/>
      <c r="B332" s="448"/>
      <c r="C332" s="447"/>
      <c r="D332" s="447"/>
      <c r="E332" s="447"/>
    </row>
    <row r="333" spans="1:5" x14ac:dyDescent="0.25">
      <c r="A333" s="445"/>
      <c r="B333" s="448"/>
      <c r="C333" s="447"/>
      <c r="D333" s="447"/>
      <c r="E333" s="447"/>
    </row>
    <row r="334" spans="1:5" x14ac:dyDescent="0.25">
      <c r="A334" s="445"/>
      <c r="B334" s="448"/>
      <c r="C334" s="447"/>
      <c r="D334" s="447"/>
      <c r="E334" s="447"/>
    </row>
    <row r="335" spans="1:5" x14ac:dyDescent="0.25">
      <c r="A335" s="445"/>
      <c r="B335" s="448"/>
      <c r="C335" s="447"/>
      <c r="D335" s="447"/>
      <c r="E335" s="447"/>
    </row>
    <row r="336" spans="1:5" x14ac:dyDescent="0.25">
      <c r="A336" s="445"/>
      <c r="B336" s="448"/>
      <c r="C336" s="447"/>
      <c r="D336" s="447"/>
      <c r="E336" s="447"/>
    </row>
    <row r="337" spans="1:6" x14ac:dyDescent="0.25">
      <c r="A337" s="445"/>
      <c r="B337" s="448"/>
      <c r="C337" s="447"/>
      <c r="D337" s="447"/>
      <c r="E337" s="447"/>
    </row>
    <row r="338" spans="1:6" x14ac:dyDescent="0.25">
      <c r="F338" s="453"/>
    </row>
  </sheetData>
  <mergeCells count="2">
    <mergeCell ref="A1:I1"/>
    <mergeCell ref="A2:I2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03D26-E50E-44D5-B6F0-F6FA30CA797D}">
  <sheetPr>
    <tabColor rgb="FF00B050"/>
    <pageSetUpPr fitToPage="1"/>
  </sheetPr>
  <dimension ref="A1:S114"/>
  <sheetViews>
    <sheetView showGridLines="0" topLeftCell="B1" workbookViewId="0">
      <selection activeCell="J97" sqref="J1:M1048576"/>
    </sheetView>
  </sheetViews>
  <sheetFormatPr defaultRowHeight="15" x14ac:dyDescent="0.25"/>
  <cols>
    <col min="1" max="1" width="9.85546875" style="60" customWidth="1"/>
    <col min="2" max="2" width="43.28515625" style="60" customWidth="1"/>
    <col min="3" max="3" width="14.140625" style="59" customWidth="1"/>
    <col min="4" max="4" width="14.42578125" style="69" customWidth="1"/>
    <col min="5" max="5" width="16.28515625" style="69" customWidth="1"/>
    <col min="6" max="6" width="13.5703125" style="69" customWidth="1"/>
    <col min="7" max="7" width="12.28515625" style="60" hidden="1" customWidth="1"/>
    <col min="8" max="8" width="12.85546875" style="60" hidden="1" customWidth="1"/>
    <col min="9" max="9" width="14.28515625" style="60" hidden="1" customWidth="1"/>
    <col min="10" max="10" width="12" style="60" hidden="1" customWidth="1"/>
    <col min="11" max="13" width="16.140625" style="60" hidden="1" customWidth="1"/>
    <col min="14" max="28" width="9.140625" style="60" customWidth="1"/>
    <col min="29" max="16384" width="9.140625" style="60"/>
  </cols>
  <sheetData>
    <row r="1" spans="1:13" ht="17.25" customHeight="1" x14ac:dyDescent="0.25">
      <c r="A1" s="221"/>
      <c r="B1" s="303" t="s">
        <v>141</v>
      </c>
      <c r="C1" s="304"/>
      <c r="D1" s="222"/>
      <c r="E1" s="83"/>
      <c r="F1" s="83"/>
      <c r="G1" s="223"/>
      <c r="H1" s="223"/>
      <c r="I1" s="223"/>
      <c r="J1" s="223"/>
      <c r="K1" s="223"/>
      <c r="L1" s="223"/>
      <c r="M1" s="223"/>
    </row>
    <row r="2" spans="1:13" ht="15.75" x14ac:dyDescent="0.25">
      <c r="A2" s="59"/>
      <c r="B2" s="305" t="s">
        <v>233</v>
      </c>
      <c r="C2" s="306"/>
      <c r="D2" s="58"/>
      <c r="E2" s="58"/>
      <c r="F2" s="58"/>
      <c r="G2" s="59"/>
      <c r="H2" s="59"/>
      <c r="I2" s="59"/>
      <c r="J2" s="59"/>
      <c r="K2" s="59"/>
      <c r="L2" s="59"/>
      <c r="M2" s="59"/>
    </row>
    <row r="3" spans="1:13" ht="15.75" x14ac:dyDescent="0.25">
      <c r="A3" s="224"/>
      <c r="B3" s="307" t="s">
        <v>234</v>
      </c>
      <c r="C3" s="255"/>
      <c r="D3" s="88"/>
      <c r="E3" s="88"/>
      <c r="F3" s="88"/>
      <c r="G3" s="224"/>
      <c r="H3" s="224"/>
      <c r="I3" s="224"/>
      <c r="J3" s="224"/>
      <c r="K3" s="224"/>
      <c r="L3" s="224"/>
      <c r="M3" s="224"/>
    </row>
    <row r="4" spans="1:13" s="217" customFormat="1" ht="43.5" customHeight="1" x14ac:dyDescent="0.25">
      <c r="A4" s="62" t="s">
        <v>143</v>
      </c>
      <c r="B4" s="63" t="s">
        <v>144</v>
      </c>
      <c r="C4" s="58" t="s">
        <v>140</v>
      </c>
      <c r="D4" s="218" t="s">
        <v>145</v>
      </c>
      <c r="E4" s="58" t="s">
        <v>146</v>
      </c>
      <c r="F4" s="58" t="s">
        <v>212</v>
      </c>
      <c r="G4" s="58" t="s">
        <v>147</v>
      </c>
      <c r="H4" s="310" t="s">
        <v>213</v>
      </c>
      <c r="I4" s="310" t="s">
        <v>214</v>
      </c>
      <c r="J4" s="361" t="s">
        <v>252</v>
      </c>
      <c r="K4" s="361" t="s">
        <v>256</v>
      </c>
      <c r="L4" s="407" t="s">
        <v>214</v>
      </c>
      <c r="M4" s="70" t="s">
        <v>256</v>
      </c>
    </row>
    <row r="5" spans="1:13" ht="16.5" customHeight="1" x14ac:dyDescent="0.25">
      <c r="A5" s="329">
        <v>0.65</v>
      </c>
      <c r="B5" s="331" t="s">
        <v>33</v>
      </c>
      <c r="C5" s="332">
        <v>1452.42</v>
      </c>
      <c r="D5" s="330">
        <v>0</v>
      </c>
      <c r="E5" s="72">
        <f>C5-D5</f>
        <v>1452.42</v>
      </c>
      <c r="F5" s="72">
        <f>C5*8%</f>
        <v>116.1936</v>
      </c>
      <c r="G5" s="76"/>
      <c r="H5" s="76">
        <v>44530</v>
      </c>
      <c r="I5" s="244">
        <v>0</v>
      </c>
      <c r="J5" s="391">
        <v>6.0499999999999998E-2</v>
      </c>
      <c r="K5" s="76">
        <v>44530</v>
      </c>
      <c r="L5" s="76"/>
      <c r="M5" s="72">
        <f>E5*J5</f>
        <v>87.871409999999997</v>
      </c>
    </row>
    <row r="6" spans="1:13" ht="16.5" customHeight="1" x14ac:dyDescent="0.25">
      <c r="A6" s="329">
        <v>0.65</v>
      </c>
      <c r="B6" s="331" t="s">
        <v>34</v>
      </c>
      <c r="C6" s="333">
        <v>786.24</v>
      </c>
      <c r="D6" s="330">
        <v>0</v>
      </c>
      <c r="E6" s="72">
        <f t="shared" ref="E6:E68" si="0">C6-D6</f>
        <v>786.24</v>
      </c>
      <c r="F6" s="72">
        <f t="shared" ref="F6:F68" si="1">C6*8%</f>
        <v>62.8992</v>
      </c>
      <c r="G6" s="76"/>
      <c r="H6" s="74">
        <f>H5</f>
        <v>44530</v>
      </c>
      <c r="I6" s="244">
        <v>0</v>
      </c>
      <c r="J6" s="391">
        <f>J5</f>
        <v>6.0499999999999998E-2</v>
      </c>
      <c r="K6" s="74">
        <f>K5</f>
        <v>44530</v>
      </c>
      <c r="L6" s="74"/>
      <c r="M6" s="72">
        <f t="shared" ref="M6:M68" si="2">E6*J6</f>
        <v>47.567520000000002</v>
      </c>
    </row>
    <row r="7" spans="1:13" ht="16.5" customHeight="1" x14ac:dyDescent="0.25">
      <c r="A7" s="329">
        <v>0.65</v>
      </c>
      <c r="B7" s="331" t="s">
        <v>16</v>
      </c>
      <c r="C7" s="333">
        <v>2.4500000000000002</v>
      </c>
      <c r="D7" s="330">
        <v>0</v>
      </c>
      <c r="E7" s="72">
        <f t="shared" si="0"/>
        <v>2.4500000000000002</v>
      </c>
      <c r="F7" s="72">
        <f t="shared" si="1"/>
        <v>0.19600000000000001</v>
      </c>
      <c r="G7" s="76"/>
      <c r="H7" s="74">
        <f>H6</f>
        <v>44530</v>
      </c>
      <c r="I7" s="244">
        <v>0</v>
      </c>
      <c r="J7" s="391">
        <f>J6</f>
        <v>6.0499999999999998E-2</v>
      </c>
      <c r="K7" s="74">
        <f>K6</f>
        <v>44530</v>
      </c>
      <c r="L7" s="74"/>
      <c r="M7" s="72">
        <f t="shared" si="2"/>
        <v>0.148225</v>
      </c>
    </row>
    <row r="8" spans="1:13" ht="16.5" customHeight="1" x14ac:dyDescent="0.25">
      <c r="A8" s="329">
        <v>0.65</v>
      </c>
      <c r="B8" s="331" t="s">
        <v>35</v>
      </c>
      <c r="C8" s="333">
        <v>1.6</v>
      </c>
      <c r="D8" s="330">
        <v>0</v>
      </c>
      <c r="E8" s="72">
        <f t="shared" si="0"/>
        <v>1.6</v>
      </c>
      <c r="F8" s="72">
        <f t="shared" si="1"/>
        <v>0.128</v>
      </c>
      <c r="G8" s="76"/>
      <c r="H8" s="74">
        <f t="shared" ref="H8:H30" si="3">H7</f>
        <v>44530</v>
      </c>
      <c r="I8" s="244">
        <v>0</v>
      </c>
      <c r="J8" s="391">
        <f t="shared" ref="J8:J68" si="4">J7</f>
        <v>6.0499999999999998E-2</v>
      </c>
      <c r="K8" s="76">
        <f>K7</f>
        <v>44530</v>
      </c>
      <c r="L8" s="76"/>
      <c r="M8" s="72">
        <f t="shared" si="2"/>
        <v>9.6799999999999997E-2</v>
      </c>
    </row>
    <row r="9" spans="1:13" ht="16.5" customHeight="1" x14ac:dyDescent="0.25">
      <c r="A9" s="329">
        <v>0.65</v>
      </c>
      <c r="B9" s="331" t="s">
        <v>36</v>
      </c>
      <c r="C9" s="333">
        <v>1034.3599999999999</v>
      </c>
      <c r="D9" s="330">
        <v>822.13</v>
      </c>
      <c r="E9" s="72">
        <v>0</v>
      </c>
      <c r="F9" s="72">
        <f t="shared" si="1"/>
        <v>82.748799999999989</v>
      </c>
      <c r="G9" s="76">
        <v>44566</v>
      </c>
      <c r="H9" s="74">
        <f t="shared" si="3"/>
        <v>44530</v>
      </c>
      <c r="I9" s="244">
        <f>G9-H9</f>
        <v>36</v>
      </c>
      <c r="J9" s="391">
        <f t="shared" si="4"/>
        <v>6.0499999999999998E-2</v>
      </c>
      <c r="K9" s="76">
        <f t="shared" ref="K9:K15" si="5">K8</f>
        <v>44530</v>
      </c>
      <c r="L9" s="76"/>
      <c r="M9" s="72">
        <f t="shared" si="2"/>
        <v>0</v>
      </c>
    </row>
    <row r="10" spans="1:13" ht="16.5" customHeight="1" x14ac:dyDescent="0.25">
      <c r="A10" s="329">
        <v>0.65</v>
      </c>
      <c r="B10" s="331" t="s">
        <v>36</v>
      </c>
      <c r="C10" s="333">
        <v>0</v>
      </c>
      <c r="D10" s="330">
        <v>212.23</v>
      </c>
      <c r="E10" s="72">
        <v>0</v>
      </c>
      <c r="F10" s="72">
        <f t="shared" si="1"/>
        <v>0</v>
      </c>
      <c r="G10" s="76">
        <v>44606</v>
      </c>
      <c r="H10" s="74">
        <f t="shared" si="3"/>
        <v>44530</v>
      </c>
      <c r="I10" s="244">
        <f t="shared" ref="I10:I11" si="6">G10-H10</f>
        <v>76</v>
      </c>
      <c r="J10" s="391">
        <f t="shared" si="4"/>
        <v>6.0499999999999998E-2</v>
      </c>
      <c r="K10" s="76">
        <f t="shared" si="5"/>
        <v>44530</v>
      </c>
      <c r="L10" s="74"/>
      <c r="M10" s="72">
        <f t="shared" si="2"/>
        <v>0</v>
      </c>
    </row>
    <row r="11" spans="1:13" ht="16.5" customHeight="1" x14ac:dyDescent="0.25">
      <c r="A11" s="329">
        <v>0.65</v>
      </c>
      <c r="B11" s="331" t="s">
        <v>219</v>
      </c>
      <c r="C11" s="333">
        <v>304.54000000000002</v>
      </c>
      <c r="D11" s="330">
        <v>304.54000000000002</v>
      </c>
      <c r="E11" s="72">
        <f t="shared" si="0"/>
        <v>0</v>
      </c>
      <c r="F11" s="72">
        <f t="shared" si="1"/>
        <v>24.363200000000003</v>
      </c>
      <c r="G11" s="76">
        <v>44571</v>
      </c>
      <c r="H11" s="74">
        <f t="shared" si="3"/>
        <v>44530</v>
      </c>
      <c r="I11" s="244">
        <f t="shared" si="6"/>
        <v>41</v>
      </c>
      <c r="J11" s="391">
        <f t="shared" si="4"/>
        <v>6.0499999999999998E-2</v>
      </c>
      <c r="K11" s="76">
        <f t="shared" si="5"/>
        <v>44530</v>
      </c>
      <c r="L11" s="74"/>
      <c r="M11" s="72">
        <f t="shared" si="2"/>
        <v>0</v>
      </c>
    </row>
    <row r="12" spans="1:13" ht="16.5" customHeight="1" x14ac:dyDescent="0.25">
      <c r="A12" s="329">
        <v>0.65</v>
      </c>
      <c r="B12" s="331" t="s">
        <v>37</v>
      </c>
      <c r="C12" s="333">
        <v>833.25</v>
      </c>
      <c r="D12" s="330">
        <v>0</v>
      </c>
      <c r="E12" s="72">
        <f t="shared" si="0"/>
        <v>833.25</v>
      </c>
      <c r="F12" s="72">
        <f t="shared" si="1"/>
        <v>66.66</v>
      </c>
      <c r="G12" s="76"/>
      <c r="H12" s="74" t="e">
        <f>#REF!</f>
        <v>#REF!</v>
      </c>
      <c r="I12" s="244">
        <v>0</v>
      </c>
      <c r="J12" s="391">
        <f>J11</f>
        <v>6.0499999999999998E-2</v>
      </c>
      <c r="K12" s="76" t="e">
        <f>#REF!</f>
        <v>#REF!</v>
      </c>
      <c r="L12" s="76"/>
      <c r="M12" s="72">
        <f t="shared" si="2"/>
        <v>50.411625000000001</v>
      </c>
    </row>
    <row r="13" spans="1:13" ht="16.5" customHeight="1" x14ac:dyDescent="0.25">
      <c r="A13" s="329">
        <v>0.65</v>
      </c>
      <c r="B13" s="331" t="s">
        <v>105</v>
      </c>
      <c r="C13" s="332">
        <v>201.44</v>
      </c>
      <c r="D13" s="330">
        <v>0</v>
      </c>
      <c r="E13" s="72">
        <f t="shared" si="0"/>
        <v>201.44</v>
      </c>
      <c r="F13" s="72">
        <f t="shared" si="1"/>
        <v>16.115200000000002</v>
      </c>
      <c r="G13" s="76"/>
      <c r="H13" s="74" t="e">
        <f t="shared" si="3"/>
        <v>#REF!</v>
      </c>
      <c r="I13" s="244">
        <v>0</v>
      </c>
      <c r="J13" s="391">
        <f t="shared" si="4"/>
        <v>6.0499999999999998E-2</v>
      </c>
      <c r="K13" s="76" t="e">
        <f t="shared" si="5"/>
        <v>#REF!</v>
      </c>
      <c r="L13" s="76"/>
      <c r="M13" s="72">
        <f t="shared" si="2"/>
        <v>12.18712</v>
      </c>
    </row>
    <row r="14" spans="1:13" ht="16.5" customHeight="1" x14ac:dyDescent="0.25">
      <c r="A14" s="329">
        <v>0.65</v>
      </c>
      <c r="B14" s="331" t="s">
        <v>19</v>
      </c>
      <c r="C14" s="332">
        <v>1696.43</v>
      </c>
      <c r="D14" s="330">
        <v>0</v>
      </c>
      <c r="E14" s="72">
        <f t="shared" si="0"/>
        <v>1696.43</v>
      </c>
      <c r="F14" s="72">
        <f t="shared" si="1"/>
        <v>135.71440000000001</v>
      </c>
      <c r="G14" s="76"/>
      <c r="H14" s="74" t="e">
        <f t="shared" si="3"/>
        <v>#REF!</v>
      </c>
      <c r="I14" s="244">
        <v>0</v>
      </c>
      <c r="J14" s="391">
        <f t="shared" si="4"/>
        <v>6.0499999999999998E-2</v>
      </c>
      <c r="K14" s="76" t="e">
        <f t="shared" si="5"/>
        <v>#REF!</v>
      </c>
      <c r="L14" s="76"/>
      <c r="M14" s="72">
        <f t="shared" si="2"/>
        <v>102.63401500000001</v>
      </c>
    </row>
    <row r="15" spans="1:13" ht="16.5" customHeight="1" x14ac:dyDescent="0.25">
      <c r="A15" s="329">
        <v>0.65</v>
      </c>
      <c r="B15" s="331" t="s">
        <v>117</v>
      </c>
      <c r="C15" s="333">
        <v>2.89</v>
      </c>
      <c r="D15" s="330">
        <v>0</v>
      </c>
      <c r="E15" s="72">
        <f t="shared" si="0"/>
        <v>2.89</v>
      </c>
      <c r="F15" s="72">
        <f t="shared" si="1"/>
        <v>0.23120000000000002</v>
      </c>
      <c r="G15" s="76"/>
      <c r="H15" s="74" t="e">
        <f t="shared" si="3"/>
        <v>#REF!</v>
      </c>
      <c r="I15" s="244">
        <v>0</v>
      </c>
      <c r="J15" s="391">
        <f t="shared" si="4"/>
        <v>6.0499999999999998E-2</v>
      </c>
      <c r="K15" s="76" t="e">
        <f t="shared" si="5"/>
        <v>#REF!</v>
      </c>
      <c r="L15" s="76"/>
      <c r="M15" s="72">
        <f t="shared" si="2"/>
        <v>0.174845</v>
      </c>
    </row>
    <row r="16" spans="1:13" ht="16.5" customHeight="1" x14ac:dyDescent="0.25">
      <c r="A16" s="329">
        <v>0.8</v>
      </c>
      <c r="B16" s="331" t="s">
        <v>38</v>
      </c>
      <c r="C16" s="333">
        <v>1645.62</v>
      </c>
      <c r="D16" s="330">
        <v>0</v>
      </c>
      <c r="E16" s="72">
        <f t="shared" si="0"/>
        <v>1645.62</v>
      </c>
      <c r="F16" s="72">
        <f t="shared" si="1"/>
        <v>131.64959999999999</v>
      </c>
      <c r="G16" s="76"/>
      <c r="H16" s="74" t="e">
        <f>H15</f>
        <v>#REF!</v>
      </c>
      <c r="I16" s="232">
        <v>0</v>
      </c>
      <c r="J16" s="391">
        <f t="shared" si="4"/>
        <v>6.0499999999999998E-2</v>
      </c>
      <c r="K16" s="74" t="e">
        <f>#REF!</f>
        <v>#REF!</v>
      </c>
      <c r="L16" s="74"/>
      <c r="M16" s="72">
        <f t="shared" si="2"/>
        <v>99.560009999999991</v>
      </c>
    </row>
    <row r="17" spans="1:13" ht="16.5" customHeight="1" x14ac:dyDescent="0.25">
      <c r="A17" s="329">
        <v>0.8</v>
      </c>
      <c r="B17" s="331" t="s">
        <v>20</v>
      </c>
      <c r="C17" s="332">
        <v>926.17</v>
      </c>
      <c r="D17" s="330">
        <v>0</v>
      </c>
      <c r="E17" s="72">
        <f t="shared" si="0"/>
        <v>926.17</v>
      </c>
      <c r="F17" s="72">
        <f t="shared" si="1"/>
        <v>74.093599999999995</v>
      </c>
      <c r="G17" s="76"/>
      <c r="H17" s="74" t="e">
        <f t="shared" si="3"/>
        <v>#REF!</v>
      </c>
      <c r="I17" s="232">
        <v>0</v>
      </c>
      <c r="J17" s="391">
        <f t="shared" si="4"/>
        <v>6.0499999999999998E-2</v>
      </c>
      <c r="K17" s="74" t="e">
        <f>K16</f>
        <v>#REF!</v>
      </c>
      <c r="L17" s="74"/>
      <c r="M17" s="72">
        <f t="shared" si="2"/>
        <v>56.033284999999999</v>
      </c>
    </row>
    <row r="18" spans="1:13" ht="16.5" customHeight="1" x14ac:dyDescent="0.25">
      <c r="A18" s="329">
        <v>0.8</v>
      </c>
      <c r="B18" s="331" t="s">
        <v>39</v>
      </c>
      <c r="C18" s="332">
        <v>4.9000000000000004</v>
      </c>
      <c r="D18" s="330">
        <v>0</v>
      </c>
      <c r="E18" s="72">
        <f t="shared" si="0"/>
        <v>4.9000000000000004</v>
      </c>
      <c r="F18" s="72">
        <f t="shared" si="1"/>
        <v>0.39200000000000002</v>
      </c>
      <c r="G18" s="76"/>
      <c r="H18" s="74" t="e">
        <f t="shared" si="3"/>
        <v>#REF!</v>
      </c>
      <c r="I18" s="232">
        <v>0</v>
      </c>
      <c r="J18" s="391">
        <f t="shared" si="4"/>
        <v>6.0499999999999998E-2</v>
      </c>
      <c r="K18" s="76" t="e">
        <f>K17</f>
        <v>#REF!</v>
      </c>
      <c r="L18" s="76"/>
      <c r="M18" s="72">
        <f t="shared" si="2"/>
        <v>0.29644999999999999</v>
      </c>
    </row>
    <row r="19" spans="1:13" ht="16.5" customHeight="1" x14ac:dyDescent="0.25">
      <c r="A19" s="329">
        <v>0.8</v>
      </c>
      <c r="B19" s="331" t="s">
        <v>40</v>
      </c>
      <c r="C19" s="333">
        <v>5.27</v>
      </c>
      <c r="D19" s="330">
        <v>0</v>
      </c>
      <c r="E19" s="72">
        <f t="shared" si="0"/>
        <v>5.27</v>
      </c>
      <c r="F19" s="72">
        <f t="shared" si="1"/>
        <v>0.42159999999999997</v>
      </c>
      <c r="G19" s="76"/>
      <c r="H19" s="74" t="e">
        <f t="shared" si="3"/>
        <v>#REF!</v>
      </c>
      <c r="I19" s="232">
        <v>0</v>
      </c>
      <c r="J19" s="391">
        <f t="shared" si="4"/>
        <v>6.0499999999999998E-2</v>
      </c>
      <c r="K19" s="76" t="e">
        <f>K18</f>
        <v>#REF!</v>
      </c>
      <c r="L19" s="76"/>
      <c r="M19" s="72">
        <f t="shared" si="2"/>
        <v>0.31883499999999998</v>
      </c>
    </row>
    <row r="20" spans="1:13" ht="16.5" customHeight="1" x14ac:dyDescent="0.25">
      <c r="A20" s="329">
        <v>0.8</v>
      </c>
      <c r="B20" s="331" t="s">
        <v>41</v>
      </c>
      <c r="C20" s="333">
        <v>361.67</v>
      </c>
      <c r="D20" s="330">
        <v>0</v>
      </c>
      <c r="E20" s="72">
        <f t="shared" si="0"/>
        <v>361.67</v>
      </c>
      <c r="F20" s="72">
        <f t="shared" si="1"/>
        <v>28.933600000000002</v>
      </c>
      <c r="G20" s="76"/>
      <c r="H20" s="74" t="e">
        <f t="shared" si="3"/>
        <v>#REF!</v>
      </c>
      <c r="I20" s="232">
        <v>0</v>
      </c>
      <c r="J20" s="391">
        <f t="shared" si="4"/>
        <v>6.0499999999999998E-2</v>
      </c>
      <c r="K20" s="76" t="e">
        <f t="shared" ref="K20:K30" si="7">K19</f>
        <v>#REF!</v>
      </c>
      <c r="L20" s="74"/>
      <c r="M20" s="72">
        <f t="shared" si="2"/>
        <v>21.881035000000001</v>
      </c>
    </row>
    <row r="21" spans="1:13" ht="16.5" customHeight="1" x14ac:dyDescent="0.25">
      <c r="A21" s="329">
        <v>0.8</v>
      </c>
      <c r="B21" s="331" t="s">
        <v>42</v>
      </c>
      <c r="C21" s="333">
        <v>833.22</v>
      </c>
      <c r="D21" s="330">
        <v>0</v>
      </c>
      <c r="E21" s="72">
        <f t="shared" si="0"/>
        <v>833.22</v>
      </c>
      <c r="F21" s="72">
        <f t="shared" si="1"/>
        <v>66.657600000000002</v>
      </c>
      <c r="G21" s="76"/>
      <c r="H21" s="74" t="e">
        <f t="shared" si="3"/>
        <v>#REF!</v>
      </c>
      <c r="I21" s="232">
        <v>0</v>
      </c>
      <c r="J21" s="391">
        <f t="shared" si="4"/>
        <v>6.0499999999999998E-2</v>
      </c>
      <c r="K21" s="76" t="e">
        <f t="shared" si="7"/>
        <v>#REF!</v>
      </c>
      <c r="L21" s="74"/>
      <c r="M21" s="72">
        <f t="shared" si="2"/>
        <v>50.40981</v>
      </c>
    </row>
    <row r="22" spans="1:13" ht="16.5" customHeight="1" x14ac:dyDescent="0.25">
      <c r="A22" s="329">
        <v>0.8</v>
      </c>
      <c r="B22" s="331" t="s">
        <v>43</v>
      </c>
      <c r="C22" s="333">
        <v>5.53</v>
      </c>
      <c r="D22" s="330">
        <v>0</v>
      </c>
      <c r="E22" s="72">
        <f t="shared" si="0"/>
        <v>5.53</v>
      </c>
      <c r="F22" s="72">
        <f t="shared" si="1"/>
        <v>0.44240000000000002</v>
      </c>
      <c r="G22" s="76"/>
      <c r="H22" s="74" t="e">
        <f t="shared" si="3"/>
        <v>#REF!</v>
      </c>
      <c r="I22" s="232">
        <v>0</v>
      </c>
      <c r="J22" s="391">
        <f t="shared" si="4"/>
        <v>6.0499999999999998E-2</v>
      </c>
      <c r="K22" s="76" t="e">
        <f t="shared" si="7"/>
        <v>#REF!</v>
      </c>
      <c r="L22" s="74"/>
      <c r="M22" s="72">
        <f t="shared" si="2"/>
        <v>0.334565</v>
      </c>
    </row>
    <row r="23" spans="1:13" ht="16.5" customHeight="1" x14ac:dyDescent="0.25">
      <c r="A23" s="329">
        <v>0.8</v>
      </c>
      <c r="B23" s="331" t="s">
        <v>44</v>
      </c>
      <c r="C23" s="333">
        <v>4.72</v>
      </c>
      <c r="D23" s="330">
        <v>0</v>
      </c>
      <c r="E23" s="72">
        <f t="shared" si="0"/>
        <v>4.72</v>
      </c>
      <c r="F23" s="72">
        <f t="shared" si="1"/>
        <v>0.37759999999999999</v>
      </c>
      <c r="G23" s="76"/>
      <c r="H23" s="74" t="e">
        <f t="shared" si="3"/>
        <v>#REF!</v>
      </c>
      <c r="I23" s="232">
        <v>0</v>
      </c>
      <c r="J23" s="391">
        <f t="shared" si="4"/>
        <v>6.0499999999999998E-2</v>
      </c>
      <c r="K23" s="76" t="e">
        <f t="shared" si="7"/>
        <v>#REF!</v>
      </c>
      <c r="L23" s="74"/>
      <c r="M23" s="72">
        <f t="shared" si="2"/>
        <v>0.28555999999999998</v>
      </c>
    </row>
    <row r="24" spans="1:13" ht="16.5" customHeight="1" x14ac:dyDescent="0.25">
      <c r="A24" s="329">
        <v>0.8</v>
      </c>
      <c r="B24" s="334" t="s">
        <v>1</v>
      </c>
      <c r="C24" s="333">
        <v>1769.36</v>
      </c>
      <c r="D24" s="330">
        <v>0</v>
      </c>
      <c r="E24" s="72">
        <f t="shared" si="0"/>
        <v>1769.36</v>
      </c>
      <c r="F24" s="72">
        <f t="shared" si="1"/>
        <v>141.5488</v>
      </c>
      <c r="G24" s="76"/>
      <c r="H24" s="74" t="e">
        <f t="shared" si="3"/>
        <v>#REF!</v>
      </c>
      <c r="I24" s="232">
        <v>0</v>
      </c>
      <c r="J24" s="391">
        <f t="shared" si="4"/>
        <v>6.0499999999999998E-2</v>
      </c>
      <c r="K24" s="76" t="e">
        <f t="shared" si="7"/>
        <v>#REF!</v>
      </c>
      <c r="L24" s="74"/>
      <c r="M24" s="72">
        <f t="shared" si="2"/>
        <v>107.04628</v>
      </c>
    </row>
    <row r="25" spans="1:13" ht="16.5" customHeight="1" x14ac:dyDescent="0.25">
      <c r="A25" s="329">
        <v>0.8</v>
      </c>
      <c r="B25" s="331" t="s">
        <v>118</v>
      </c>
      <c r="C25" s="333">
        <v>2.4500000000000002</v>
      </c>
      <c r="D25" s="330">
        <v>0</v>
      </c>
      <c r="E25" s="72">
        <f t="shared" si="0"/>
        <v>2.4500000000000002</v>
      </c>
      <c r="F25" s="72">
        <f t="shared" si="1"/>
        <v>0.19600000000000001</v>
      </c>
      <c r="G25" s="76"/>
      <c r="H25" s="74" t="e">
        <f t="shared" si="3"/>
        <v>#REF!</v>
      </c>
      <c r="I25" s="232">
        <v>0</v>
      </c>
      <c r="J25" s="391">
        <f t="shared" si="4"/>
        <v>6.0499999999999998E-2</v>
      </c>
      <c r="K25" s="76" t="e">
        <f t="shared" si="7"/>
        <v>#REF!</v>
      </c>
      <c r="L25" s="74"/>
      <c r="M25" s="72">
        <f t="shared" si="2"/>
        <v>0.148225</v>
      </c>
    </row>
    <row r="26" spans="1:13" ht="16.5" customHeight="1" x14ac:dyDescent="0.25">
      <c r="A26" s="329">
        <v>0.8</v>
      </c>
      <c r="B26" s="331" t="s">
        <v>46</v>
      </c>
      <c r="C26" s="333">
        <v>4.9000000000000004</v>
      </c>
      <c r="D26" s="330">
        <v>0</v>
      </c>
      <c r="E26" s="72">
        <f t="shared" si="0"/>
        <v>4.9000000000000004</v>
      </c>
      <c r="F26" s="72">
        <f t="shared" si="1"/>
        <v>0.39200000000000002</v>
      </c>
      <c r="G26" s="76"/>
      <c r="H26" s="74" t="e">
        <f t="shared" si="3"/>
        <v>#REF!</v>
      </c>
      <c r="I26" s="232">
        <v>0</v>
      </c>
      <c r="J26" s="391">
        <f t="shared" si="4"/>
        <v>6.0499999999999998E-2</v>
      </c>
      <c r="K26" s="76" t="e">
        <f t="shared" si="7"/>
        <v>#REF!</v>
      </c>
      <c r="L26" s="74"/>
      <c r="M26" s="72">
        <f t="shared" si="2"/>
        <v>0.29644999999999999</v>
      </c>
    </row>
    <row r="27" spans="1:13" ht="16.5" customHeight="1" x14ac:dyDescent="0.25">
      <c r="A27" s="329">
        <v>0.8</v>
      </c>
      <c r="B27" s="331" t="s">
        <v>47</v>
      </c>
      <c r="C27" s="333">
        <v>3.57</v>
      </c>
      <c r="D27" s="330">
        <v>0</v>
      </c>
      <c r="E27" s="72">
        <f t="shared" si="0"/>
        <v>3.57</v>
      </c>
      <c r="F27" s="72">
        <f t="shared" si="1"/>
        <v>0.28560000000000002</v>
      </c>
      <c r="G27" s="76"/>
      <c r="H27" s="74" t="e">
        <f t="shared" si="3"/>
        <v>#REF!</v>
      </c>
      <c r="I27" s="232">
        <v>0</v>
      </c>
      <c r="J27" s="391">
        <f t="shared" si="4"/>
        <v>6.0499999999999998E-2</v>
      </c>
      <c r="K27" s="76" t="e">
        <f t="shared" si="7"/>
        <v>#REF!</v>
      </c>
      <c r="L27" s="74"/>
      <c r="M27" s="72">
        <f t="shared" si="2"/>
        <v>0.21598499999999998</v>
      </c>
    </row>
    <row r="28" spans="1:13" ht="16.5" customHeight="1" x14ac:dyDescent="0.25">
      <c r="A28" s="329">
        <v>0.8</v>
      </c>
      <c r="B28" s="334" t="s">
        <v>2</v>
      </c>
      <c r="C28" s="333">
        <v>418.25</v>
      </c>
      <c r="D28" s="330">
        <v>0</v>
      </c>
      <c r="E28" s="72">
        <f t="shared" si="0"/>
        <v>418.25</v>
      </c>
      <c r="F28" s="72">
        <f t="shared" si="1"/>
        <v>33.46</v>
      </c>
      <c r="G28" s="76"/>
      <c r="H28" s="74" t="e">
        <f t="shared" si="3"/>
        <v>#REF!</v>
      </c>
      <c r="I28" s="232">
        <v>0</v>
      </c>
      <c r="J28" s="391">
        <f t="shared" si="4"/>
        <v>6.0499999999999998E-2</v>
      </c>
      <c r="K28" s="76" t="e">
        <f t="shared" si="7"/>
        <v>#REF!</v>
      </c>
      <c r="L28" s="74"/>
      <c r="M28" s="72">
        <f t="shared" si="2"/>
        <v>25.304124999999999</v>
      </c>
    </row>
    <row r="29" spans="1:13" ht="16.5" customHeight="1" x14ac:dyDescent="0.25">
      <c r="A29" s="329">
        <v>0.8</v>
      </c>
      <c r="B29" s="331" t="s">
        <v>119</v>
      </c>
      <c r="C29" s="333">
        <v>2.35</v>
      </c>
      <c r="D29" s="330">
        <v>0</v>
      </c>
      <c r="E29" s="72">
        <f t="shared" si="0"/>
        <v>2.35</v>
      </c>
      <c r="F29" s="72">
        <f t="shared" si="1"/>
        <v>0.188</v>
      </c>
      <c r="G29" s="76"/>
      <c r="H29" s="74" t="e">
        <f t="shared" si="3"/>
        <v>#REF!</v>
      </c>
      <c r="I29" s="232">
        <v>0</v>
      </c>
      <c r="J29" s="391">
        <f t="shared" si="4"/>
        <v>6.0499999999999998E-2</v>
      </c>
      <c r="K29" s="76" t="e">
        <f t="shared" si="7"/>
        <v>#REF!</v>
      </c>
      <c r="L29" s="74"/>
      <c r="M29" s="72">
        <f t="shared" si="2"/>
        <v>0.142175</v>
      </c>
    </row>
    <row r="30" spans="1:13" ht="16.5" customHeight="1" x14ac:dyDescent="0.25">
      <c r="A30" s="329">
        <v>0.8</v>
      </c>
      <c r="B30" s="331" t="s">
        <v>49</v>
      </c>
      <c r="C30" s="333">
        <v>72.540000000000006</v>
      </c>
      <c r="D30" s="330">
        <v>0</v>
      </c>
      <c r="E30" s="72">
        <f t="shared" si="0"/>
        <v>72.540000000000006</v>
      </c>
      <c r="F30" s="72">
        <f t="shared" si="1"/>
        <v>5.8032000000000004</v>
      </c>
      <c r="G30" s="76"/>
      <c r="H30" s="74" t="e">
        <f t="shared" si="3"/>
        <v>#REF!</v>
      </c>
      <c r="I30" s="232">
        <v>0</v>
      </c>
      <c r="J30" s="391">
        <f t="shared" si="4"/>
        <v>6.0499999999999998E-2</v>
      </c>
      <c r="K30" s="76" t="e">
        <f t="shared" si="7"/>
        <v>#REF!</v>
      </c>
      <c r="L30" s="74"/>
      <c r="M30" s="72">
        <f t="shared" si="2"/>
        <v>4.3886700000000003</v>
      </c>
    </row>
    <row r="31" spans="1:13" ht="16.5" customHeight="1" x14ac:dyDescent="0.25">
      <c r="A31" s="328"/>
      <c r="B31" s="331" t="s">
        <v>3</v>
      </c>
      <c r="C31" s="332">
        <v>1641.67</v>
      </c>
      <c r="D31" s="330">
        <v>0</v>
      </c>
      <c r="E31" s="72">
        <f t="shared" si="0"/>
        <v>1641.67</v>
      </c>
      <c r="F31" s="72">
        <f t="shared" si="1"/>
        <v>131.33360000000002</v>
      </c>
      <c r="G31" s="76"/>
      <c r="H31" s="337" t="e">
        <f>H30</f>
        <v>#REF!</v>
      </c>
      <c r="I31" s="232">
        <v>0</v>
      </c>
      <c r="J31" s="391">
        <f t="shared" si="4"/>
        <v>6.0499999999999998E-2</v>
      </c>
      <c r="K31" s="336"/>
      <c r="L31" s="336"/>
      <c r="M31" s="72">
        <f t="shared" si="2"/>
        <v>99.321034999999995</v>
      </c>
    </row>
    <row r="32" spans="1:13" ht="16.5" customHeight="1" x14ac:dyDescent="0.25">
      <c r="A32" s="328"/>
      <c r="B32" s="331" t="s">
        <v>120</v>
      </c>
      <c r="C32" s="333">
        <v>4.1500000000000004</v>
      </c>
      <c r="D32" s="330">
        <v>0</v>
      </c>
      <c r="E32" s="72">
        <f t="shared" si="0"/>
        <v>4.1500000000000004</v>
      </c>
      <c r="F32" s="72">
        <f t="shared" si="1"/>
        <v>0.33200000000000002</v>
      </c>
      <c r="G32" s="76"/>
      <c r="H32" s="74" t="e">
        <f>H30</f>
        <v>#REF!</v>
      </c>
      <c r="I32" s="232">
        <v>0</v>
      </c>
      <c r="J32" s="391">
        <f t="shared" si="4"/>
        <v>6.0499999999999998E-2</v>
      </c>
      <c r="K32" s="316"/>
      <c r="L32" s="316"/>
      <c r="M32" s="72">
        <f t="shared" si="2"/>
        <v>0.25107499999999999</v>
      </c>
    </row>
    <row r="33" spans="1:13" ht="16.5" customHeight="1" x14ac:dyDescent="0.25">
      <c r="A33" s="328"/>
      <c r="B33" s="331" t="s">
        <v>50</v>
      </c>
      <c r="C33" s="333">
        <v>833.25</v>
      </c>
      <c r="D33" s="330">
        <v>0</v>
      </c>
      <c r="E33" s="72">
        <f t="shared" si="0"/>
        <v>833.25</v>
      </c>
      <c r="F33" s="72">
        <f t="shared" si="1"/>
        <v>66.66</v>
      </c>
      <c r="G33" s="76"/>
      <c r="H33" s="74" t="e">
        <f t="shared" ref="H33:H52" si="8">H31</f>
        <v>#REF!</v>
      </c>
      <c r="I33" s="232">
        <v>0</v>
      </c>
      <c r="J33" s="391">
        <f t="shared" si="4"/>
        <v>6.0499999999999998E-2</v>
      </c>
      <c r="K33" s="316"/>
      <c r="L33" s="316"/>
      <c r="M33" s="72">
        <f t="shared" si="2"/>
        <v>50.411625000000001</v>
      </c>
    </row>
    <row r="34" spans="1:13" ht="16.5" customHeight="1" x14ac:dyDescent="0.25">
      <c r="A34" s="328"/>
      <c r="B34" s="331" t="s">
        <v>51</v>
      </c>
      <c r="C34" s="333">
        <v>2.35</v>
      </c>
      <c r="D34" s="330">
        <v>0</v>
      </c>
      <c r="E34" s="72">
        <f t="shared" si="0"/>
        <v>2.35</v>
      </c>
      <c r="F34" s="72">
        <f t="shared" si="1"/>
        <v>0.188</v>
      </c>
      <c r="G34" s="76"/>
      <c r="H34" s="74" t="e">
        <f t="shared" si="8"/>
        <v>#REF!</v>
      </c>
      <c r="I34" s="232">
        <v>0</v>
      </c>
      <c r="J34" s="391">
        <f t="shared" si="4"/>
        <v>6.0499999999999998E-2</v>
      </c>
      <c r="K34" s="316"/>
      <c r="L34" s="316"/>
      <c r="M34" s="72">
        <f t="shared" si="2"/>
        <v>0.142175</v>
      </c>
    </row>
    <row r="35" spans="1:13" ht="16.5" customHeight="1" x14ac:dyDescent="0.25">
      <c r="A35" s="328"/>
      <c r="B35" s="331" t="s">
        <v>52</v>
      </c>
      <c r="C35" s="333">
        <v>3.57</v>
      </c>
      <c r="D35" s="330">
        <v>0</v>
      </c>
      <c r="E35" s="72">
        <f t="shared" si="0"/>
        <v>3.57</v>
      </c>
      <c r="F35" s="72">
        <f t="shared" si="1"/>
        <v>0.28560000000000002</v>
      </c>
      <c r="G35" s="76"/>
      <c r="H35" s="74" t="e">
        <f t="shared" si="8"/>
        <v>#REF!</v>
      </c>
      <c r="I35" s="232">
        <v>0</v>
      </c>
      <c r="J35" s="391">
        <f t="shared" si="4"/>
        <v>6.0499999999999998E-2</v>
      </c>
      <c r="K35" s="316"/>
      <c r="L35" s="316"/>
      <c r="M35" s="72">
        <f t="shared" si="2"/>
        <v>0.21598499999999998</v>
      </c>
    </row>
    <row r="36" spans="1:13" ht="16.5" customHeight="1" x14ac:dyDescent="0.25">
      <c r="A36" s="328"/>
      <c r="B36" s="331" t="s">
        <v>21</v>
      </c>
      <c r="C36" s="332">
        <v>397.81</v>
      </c>
      <c r="D36" s="330">
        <v>0</v>
      </c>
      <c r="E36" s="72">
        <f t="shared" si="0"/>
        <v>397.81</v>
      </c>
      <c r="F36" s="72">
        <f t="shared" si="1"/>
        <v>31.8248</v>
      </c>
      <c r="G36" s="76"/>
      <c r="H36" s="74" t="e">
        <f t="shared" si="8"/>
        <v>#REF!</v>
      </c>
      <c r="I36" s="232">
        <v>0</v>
      </c>
      <c r="J36" s="391">
        <f t="shared" si="4"/>
        <v>6.0499999999999998E-2</v>
      </c>
      <c r="K36" s="316"/>
      <c r="L36" s="316"/>
      <c r="M36" s="72">
        <f t="shared" si="2"/>
        <v>24.067505000000001</v>
      </c>
    </row>
    <row r="37" spans="1:13" ht="16.5" customHeight="1" x14ac:dyDescent="0.25">
      <c r="A37" s="328"/>
      <c r="B37" s="331" t="s">
        <v>53</v>
      </c>
      <c r="C37" s="333">
        <v>1549.06</v>
      </c>
      <c r="D37" s="330">
        <v>0</v>
      </c>
      <c r="E37" s="72">
        <f t="shared" si="0"/>
        <v>1549.06</v>
      </c>
      <c r="F37" s="72">
        <f t="shared" si="1"/>
        <v>123.9248</v>
      </c>
      <c r="G37" s="76"/>
      <c r="H37" s="74" t="e">
        <f t="shared" si="8"/>
        <v>#REF!</v>
      </c>
      <c r="I37" s="232">
        <v>0</v>
      </c>
      <c r="J37" s="391">
        <f t="shared" si="4"/>
        <v>6.0499999999999998E-2</v>
      </c>
      <c r="K37" s="316"/>
      <c r="L37" s="316"/>
      <c r="M37" s="72">
        <f t="shared" si="2"/>
        <v>93.718129999999988</v>
      </c>
    </row>
    <row r="38" spans="1:13" ht="16.5" customHeight="1" x14ac:dyDescent="0.25">
      <c r="A38" s="328"/>
      <c r="B38" s="331" t="s">
        <v>54</v>
      </c>
      <c r="C38" s="333">
        <v>6.34</v>
      </c>
      <c r="D38" s="330">
        <v>0</v>
      </c>
      <c r="E38" s="72">
        <f t="shared" si="0"/>
        <v>6.34</v>
      </c>
      <c r="F38" s="72">
        <f t="shared" si="1"/>
        <v>0.50719999999999998</v>
      </c>
      <c r="G38" s="76"/>
      <c r="H38" s="74" t="e">
        <f t="shared" si="8"/>
        <v>#REF!</v>
      </c>
      <c r="I38" s="232">
        <v>0</v>
      </c>
      <c r="J38" s="391">
        <f t="shared" si="4"/>
        <v>6.0499999999999998E-2</v>
      </c>
      <c r="K38" s="316"/>
      <c r="L38" s="316"/>
      <c r="M38" s="72">
        <f t="shared" si="2"/>
        <v>0.38356999999999997</v>
      </c>
    </row>
    <row r="39" spans="1:13" ht="16.5" customHeight="1" x14ac:dyDescent="0.25">
      <c r="A39" s="328"/>
      <c r="B39" s="331" t="s">
        <v>55</v>
      </c>
      <c r="C39" s="333">
        <v>2.35</v>
      </c>
      <c r="D39" s="330">
        <v>0</v>
      </c>
      <c r="E39" s="72">
        <f t="shared" si="0"/>
        <v>2.35</v>
      </c>
      <c r="F39" s="72">
        <f t="shared" si="1"/>
        <v>0.188</v>
      </c>
      <c r="G39" s="76"/>
      <c r="H39" s="74" t="e">
        <f t="shared" si="8"/>
        <v>#REF!</v>
      </c>
      <c r="I39" s="232">
        <v>0</v>
      </c>
      <c r="J39" s="391">
        <f t="shared" si="4"/>
        <v>6.0499999999999998E-2</v>
      </c>
      <c r="K39" s="316"/>
      <c r="L39" s="316"/>
      <c r="M39" s="72">
        <f t="shared" si="2"/>
        <v>0.142175</v>
      </c>
    </row>
    <row r="40" spans="1:13" ht="16.5" customHeight="1" x14ac:dyDescent="0.25">
      <c r="A40" s="328"/>
      <c r="B40" s="331" t="s">
        <v>56</v>
      </c>
      <c r="C40" s="332">
        <v>396.6</v>
      </c>
      <c r="D40" s="330">
        <v>0</v>
      </c>
      <c r="E40" s="72">
        <f t="shared" si="0"/>
        <v>396.6</v>
      </c>
      <c r="F40" s="72">
        <f t="shared" si="1"/>
        <v>31.728000000000002</v>
      </c>
      <c r="G40" s="76"/>
      <c r="H40" s="74" t="e">
        <f t="shared" si="8"/>
        <v>#REF!</v>
      </c>
      <c r="I40" s="232">
        <v>0</v>
      </c>
      <c r="J40" s="391">
        <f t="shared" si="4"/>
        <v>6.0499999999999998E-2</v>
      </c>
      <c r="K40" s="316"/>
      <c r="L40" s="316"/>
      <c r="M40" s="72">
        <f t="shared" si="2"/>
        <v>23.994299999999999</v>
      </c>
    </row>
    <row r="41" spans="1:13" ht="16.5" customHeight="1" x14ac:dyDescent="0.25">
      <c r="A41" s="328"/>
      <c r="B41" s="331" t="s">
        <v>57</v>
      </c>
      <c r="C41" s="333">
        <v>2.25</v>
      </c>
      <c r="D41" s="330">
        <v>0</v>
      </c>
      <c r="E41" s="72">
        <f t="shared" si="0"/>
        <v>2.25</v>
      </c>
      <c r="F41" s="72">
        <f t="shared" si="1"/>
        <v>0.18</v>
      </c>
      <c r="G41" s="76"/>
      <c r="H41" s="74" t="e">
        <f t="shared" si="8"/>
        <v>#REF!</v>
      </c>
      <c r="I41" s="232">
        <v>0</v>
      </c>
      <c r="J41" s="391">
        <f t="shared" si="4"/>
        <v>6.0499999999999998E-2</v>
      </c>
      <c r="K41" s="316"/>
      <c r="L41" s="316"/>
      <c r="M41" s="72">
        <f t="shared" si="2"/>
        <v>0.136125</v>
      </c>
    </row>
    <row r="42" spans="1:13" ht="16.5" customHeight="1" x14ac:dyDescent="0.25">
      <c r="A42" s="328"/>
      <c r="B42" s="331" t="s">
        <v>220</v>
      </c>
      <c r="C42" s="333">
        <v>390.38</v>
      </c>
      <c r="D42" s="330">
        <v>0</v>
      </c>
      <c r="E42" s="72">
        <f t="shared" si="0"/>
        <v>390.38</v>
      </c>
      <c r="F42" s="72">
        <f t="shared" si="1"/>
        <v>31.230399999999999</v>
      </c>
      <c r="G42" s="76"/>
      <c r="H42" s="74" t="e">
        <f t="shared" si="8"/>
        <v>#REF!</v>
      </c>
      <c r="I42" s="232">
        <v>0</v>
      </c>
      <c r="J42" s="391">
        <f t="shared" si="4"/>
        <v>6.0499999999999998E-2</v>
      </c>
      <c r="K42" s="316"/>
      <c r="L42" s="316"/>
      <c r="M42" s="72">
        <f t="shared" si="2"/>
        <v>23.617989999999999</v>
      </c>
    </row>
    <row r="43" spans="1:13" ht="16.5" customHeight="1" x14ac:dyDescent="0.25">
      <c r="A43" s="328"/>
      <c r="B43" s="331" t="s">
        <v>122</v>
      </c>
      <c r="C43" s="333">
        <v>0.22</v>
      </c>
      <c r="D43" s="330">
        <v>0</v>
      </c>
      <c r="E43" s="72">
        <f t="shared" si="0"/>
        <v>0.22</v>
      </c>
      <c r="F43" s="72">
        <f t="shared" si="1"/>
        <v>1.7600000000000001E-2</v>
      </c>
      <c r="G43" s="76"/>
      <c r="H43" s="74" t="e">
        <f t="shared" si="8"/>
        <v>#REF!</v>
      </c>
      <c r="I43" s="232">
        <v>0</v>
      </c>
      <c r="J43" s="391">
        <f t="shared" si="4"/>
        <v>6.0499999999999998E-2</v>
      </c>
      <c r="K43" s="316"/>
      <c r="L43" s="316"/>
      <c r="M43" s="72">
        <f t="shared" si="2"/>
        <v>1.3309999999999999E-2</v>
      </c>
    </row>
    <row r="44" spans="1:13" ht="16.5" customHeight="1" x14ac:dyDescent="0.25">
      <c r="A44" s="328"/>
      <c r="B44" s="334" t="s">
        <v>4</v>
      </c>
      <c r="C44" s="333">
        <v>1920.57</v>
      </c>
      <c r="D44" s="330">
        <v>0</v>
      </c>
      <c r="E44" s="72">
        <f t="shared" si="0"/>
        <v>1920.57</v>
      </c>
      <c r="F44" s="72">
        <f t="shared" si="1"/>
        <v>153.6456</v>
      </c>
      <c r="G44" s="76"/>
      <c r="H44" s="74" t="e">
        <f t="shared" si="8"/>
        <v>#REF!</v>
      </c>
      <c r="I44" s="232">
        <v>0</v>
      </c>
      <c r="J44" s="391">
        <f t="shared" si="4"/>
        <v>6.0499999999999998E-2</v>
      </c>
      <c r="K44" s="316"/>
      <c r="L44" s="316"/>
      <c r="M44" s="72">
        <f t="shared" si="2"/>
        <v>116.19448499999999</v>
      </c>
    </row>
    <row r="45" spans="1:13" ht="16.5" customHeight="1" x14ac:dyDescent="0.25">
      <c r="A45" s="328"/>
      <c r="B45" s="331" t="s">
        <v>22</v>
      </c>
      <c r="C45" s="332">
        <v>1139.26</v>
      </c>
      <c r="D45" s="330">
        <v>0</v>
      </c>
      <c r="E45" s="72">
        <f t="shared" si="0"/>
        <v>1139.26</v>
      </c>
      <c r="F45" s="72">
        <f t="shared" si="1"/>
        <v>91.140799999999999</v>
      </c>
      <c r="G45" s="76"/>
      <c r="H45" s="74" t="e">
        <f t="shared" si="8"/>
        <v>#REF!</v>
      </c>
      <c r="I45" s="232">
        <v>0</v>
      </c>
      <c r="J45" s="391">
        <f t="shared" si="4"/>
        <v>6.0499999999999998E-2</v>
      </c>
      <c r="K45" s="316"/>
      <c r="L45" s="316"/>
      <c r="M45" s="72">
        <f t="shared" si="2"/>
        <v>68.925229999999999</v>
      </c>
    </row>
    <row r="46" spans="1:13" ht="16.5" customHeight="1" x14ac:dyDescent="0.25">
      <c r="A46" s="328"/>
      <c r="B46" s="331" t="s">
        <v>23</v>
      </c>
      <c r="C46" s="333">
        <v>2337.4</v>
      </c>
      <c r="D46" s="330">
        <v>0</v>
      </c>
      <c r="E46" s="72">
        <f t="shared" si="0"/>
        <v>2337.4</v>
      </c>
      <c r="F46" s="72">
        <f t="shared" si="1"/>
        <v>186.99200000000002</v>
      </c>
      <c r="G46" s="76"/>
      <c r="H46" s="74" t="e">
        <f t="shared" si="8"/>
        <v>#REF!</v>
      </c>
      <c r="I46" s="232">
        <v>0</v>
      </c>
      <c r="J46" s="391">
        <f t="shared" si="4"/>
        <v>6.0499999999999998E-2</v>
      </c>
      <c r="K46" s="316"/>
      <c r="L46" s="316"/>
      <c r="M46" s="72">
        <f t="shared" si="2"/>
        <v>141.4127</v>
      </c>
    </row>
    <row r="47" spans="1:13" ht="16.5" customHeight="1" x14ac:dyDescent="0.25">
      <c r="A47" s="328"/>
      <c r="B47" s="334" t="s">
        <v>5</v>
      </c>
      <c r="C47" s="333">
        <v>3814.64</v>
      </c>
      <c r="D47" s="330">
        <v>0</v>
      </c>
      <c r="E47" s="72">
        <f t="shared" si="0"/>
        <v>3814.64</v>
      </c>
      <c r="F47" s="72">
        <f t="shared" si="1"/>
        <v>305.1712</v>
      </c>
      <c r="G47" s="76"/>
      <c r="H47" s="74" t="e">
        <f t="shared" si="8"/>
        <v>#REF!</v>
      </c>
      <c r="I47" s="232">
        <v>0</v>
      </c>
      <c r="J47" s="391">
        <f t="shared" si="4"/>
        <v>6.0499999999999998E-2</v>
      </c>
      <c r="K47" s="316"/>
      <c r="L47" s="316"/>
      <c r="M47" s="72">
        <f t="shared" si="2"/>
        <v>230.78572</v>
      </c>
    </row>
    <row r="48" spans="1:13" ht="16.5" customHeight="1" x14ac:dyDescent="0.25">
      <c r="A48" s="328"/>
      <c r="B48" s="334" t="s">
        <v>24</v>
      </c>
      <c r="C48" s="333">
        <v>403.19</v>
      </c>
      <c r="D48" s="330">
        <v>0</v>
      </c>
      <c r="E48" s="72">
        <f t="shared" si="0"/>
        <v>403.19</v>
      </c>
      <c r="F48" s="72">
        <f t="shared" si="1"/>
        <v>32.255200000000002</v>
      </c>
      <c r="G48" s="76"/>
      <c r="H48" s="74" t="e">
        <f t="shared" si="8"/>
        <v>#REF!</v>
      </c>
      <c r="I48" s="232">
        <v>0</v>
      </c>
      <c r="J48" s="391">
        <f t="shared" si="4"/>
        <v>6.0499999999999998E-2</v>
      </c>
      <c r="K48" s="316"/>
      <c r="L48" s="316"/>
      <c r="M48" s="72">
        <f t="shared" si="2"/>
        <v>24.392994999999999</v>
      </c>
    </row>
    <row r="49" spans="1:13" ht="16.5" customHeight="1" x14ac:dyDescent="0.25">
      <c r="A49" s="328"/>
      <c r="B49" s="334" t="s">
        <v>6</v>
      </c>
      <c r="C49" s="333">
        <v>1931.36</v>
      </c>
      <c r="D49" s="330">
        <v>0</v>
      </c>
      <c r="E49" s="72">
        <f t="shared" si="0"/>
        <v>1931.36</v>
      </c>
      <c r="F49" s="72">
        <f t="shared" si="1"/>
        <v>154.50880000000001</v>
      </c>
      <c r="G49" s="76"/>
      <c r="H49" s="74" t="e">
        <f t="shared" si="8"/>
        <v>#REF!</v>
      </c>
      <c r="I49" s="232">
        <v>0</v>
      </c>
      <c r="J49" s="391">
        <f t="shared" si="4"/>
        <v>6.0499999999999998E-2</v>
      </c>
      <c r="K49" s="316"/>
      <c r="L49" s="316"/>
      <c r="M49" s="72">
        <f t="shared" si="2"/>
        <v>116.84727999999998</v>
      </c>
    </row>
    <row r="50" spans="1:13" ht="16.5" customHeight="1" x14ac:dyDescent="0.25">
      <c r="A50" s="328"/>
      <c r="B50" s="334" t="s">
        <v>221</v>
      </c>
      <c r="C50" s="333">
        <v>206.46</v>
      </c>
      <c r="D50" s="330">
        <v>206.46</v>
      </c>
      <c r="E50" s="72">
        <f t="shared" si="0"/>
        <v>0</v>
      </c>
      <c r="F50" s="72">
        <f t="shared" si="1"/>
        <v>16.5168</v>
      </c>
      <c r="G50" s="76">
        <v>44550</v>
      </c>
      <c r="H50" s="74" t="e">
        <f t="shared" si="8"/>
        <v>#REF!</v>
      </c>
      <c r="I50" s="232" t="e">
        <f>G50-H50</f>
        <v>#REF!</v>
      </c>
      <c r="J50" s="391">
        <f t="shared" si="4"/>
        <v>6.0499999999999998E-2</v>
      </c>
      <c r="K50" s="316"/>
      <c r="L50" s="316"/>
      <c r="M50" s="72">
        <f t="shared" si="2"/>
        <v>0</v>
      </c>
    </row>
    <row r="51" spans="1:13" ht="16.5" customHeight="1" x14ac:dyDescent="0.25">
      <c r="A51" s="328"/>
      <c r="B51" s="334" t="s">
        <v>7</v>
      </c>
      <c r="C51" s="333">
        <v>613.05999999999995</v>
      </c>
      <c r="D51" s="330">
        <v>0</v>
      </c>
      <c r="E51" s="72">
        <f t="shared" si="0"/>
        <v>613.05999999999995</v>
      </c>
      <c r="F51" s="72">
        <f t="shared" si="1"/>
        <v>49.044799999999995</v>
      </c>
      <c r="G51" s="76"/>
      <c r="H51" s="74" t="e">
        <f t="shared" si="8"/>
        <v>#REF!</v>
      </c>
      <c r="I51" s="232">
        <v>0</v>
      </c>
      <c r="J51" s="391">
        <f t="shared" si="4"/>
        <v>6.0499999999999998E-2</v>
      </c>
      <c r="K51" s="316"/>
      <c r="L51" s="316"/>
      <c r="M51" s="72">
        <f t="shared" si="2"/>
        <v>37.090129999999995</v>
      </c>
    </row>
    <row r="52" spans="1:13" ht="16.5" customHeight="1" x14ac:dyDescent="0.25">
      <c r="A52" s="328"/>
      <c r="B52" s="331" t="s">
        <v>58</v>
      </c>
      <c r="C52" s="333">
        <v>4.1500000000000004</v>
      </c>
      <c r="D52" s="330">
        <v>0</v>
      </c>
      <c r="E52" s="72">
        <f t="shared" si="0"/>
        <v>4.1500000000000004</v>
      </c>
      <c r="F52" s="72">
        <f t="shared" si="1"/>
        <v>0.33200000000000002</v>
      </c>
      <c r="G52" s="76"/>
      <c r="H52" s="74" t="e">
        <f t="shared" si="8"/>
        <v>#REF!</v>
      </c>
      <c r="I52" s="232">
        <v>0</v>
      </c>
      <c r="J52" s="391">
        <f t="shared" si="4"/>
        <v>6.0499999999999998E-2</v>
      </c>
      <c r="K52" s="316"/>
      <c r="L52" s="316"/>
      <c r="M52" s="72">
        <f t="shared" si="2"/>
        <v>0.25107499999999999</v>
      </c>
    </row>
    <row r="53" spans="1:13" ht="16.5" customHeight="1" x14ac:dyDescent="0.25">
      <c r="A53" s="328"/>
      <c r="B53" s="331" t="s">
        <v>59</v>
      </c>
      <c r="C53" s="333">
        <v>2.4500000000000002</v>
      </c>
      <c r="D53" s="330">
        <v>0</v>
      </c>
      <c r="E53" s="72">
        <f t="shared" si="0"/>
        <v>2.4500000000000002</v>
      </c>
      <c r="F53" s="72">
        <f t="shared" si="1"/>
        <v>0.19600000000000001</v>
      </c>
      <c r="G53" s="76"/>
      <c r="H53" s="74" t="e">
        <f t="shared" ref="H53:H106" si="9">H51</f>
        <v>#REF!</v>
      </c>
      <c r="I53" s="232">
        <v>0</v>
      </c>
      <c r="J53" s="391">
        <f t="shared" si="4"/>
        <v>6.0499999999999998E-2</v>
      </c>
      <c r="K53" s="316"/>
      <c r="L53" s="316"/>
      <c r="M53" s="72">
        <f t="shared" si="2"/>
        <v>0.148225</v>
      </c>
    </row>
    <row r="54" spans="1:13" ht="16.5" customHeight="1" x14ac:dyDescent="0.25">
      <c r="A54" s="328"/>
      <c r="B54" s="331" t="s">
        <v>25</v>
      </c>
      <c r="C54" s="333">
        <v>4811.87</v>
      </c>
      <c r="D54" s="330">
        <v>0</v>
      </c>
      <c r="E54" s="72">
        <f t="shared" si="0"/>
        <v>4811.87</v>
      </c>
      <c r="F54" s="72">
        <f t="shared" si="1"/>
        <v>384.94959999999998</v>
      </c>
      <c r="G54" s="76"/>
      <c r="H54" s="74" t="e">
        <f t="shared" si="9"/>
        <v>#REF!</v>
      </c>
      <c r="I54" s="232">
        <v>0</v>
      </c>
      <c r="J54" s="391">
        <f t="shared" si="4"/>
        <v>6.0499999999999998E-2</v>
      </c>
      <c r="K54" s="316"/>
      <c r="L54" s="316"/>
      <c r="M54" s="72">
        <f t="shared" si="2"/>
        <v>291.118135</v>
      </c>
    </row>
    <row r="55" spans="1:13" ht="16.5" customHeight="1" x14ac:dyDescent="0.25">
      <c r="A55" s="328"/>
      <c r="B55" s="331" t="s">
        <v>60</v>
      </c>
      <c r="C55" s="333">
        <v>395.58</v>
      </c>
      <c r="D55" s="330">
        <v>0</v>
      </c>
      <c r="E55" s="72">
        <f t="shared" si="0"/>
        <v>395.58</v>
      </c>
      <c r="F55" s="72">
        <f t="shared" si="1"/>
        <v>31.6464</v>
      </c>
      <c r="G55" s="76"/>
      <c r="H55" s="74" t="e">
        <f t="shared" si="9"/>
        <v>#REF!</v>
      </c>
      <c r="I55" s="232">
        <v>0</v>
      </c>
      <c r="J55" s="391">
        <f t="shared" si="4"/>
        <v>6.0499999999999998E-2</v>
      </c>
      <c r="K55" s="316"/>
      <c r="L55" s="316"/>
      <c r="M55" s="72">
        <f t="shared" si="2"/>
        <v>23.932589999999998</v>
      </c>
    </row>
    <row r="56" spans="1:13" ht="16.5" customHeight="1" x14ac:dyDescent="0.25">
      <c r="A56" s="328"/>
      <c r="B56" s="331" t="s">
        <v>26</v>
      </c>
      <c r="C56" s="333">
        <v>3773.21</v>
      </c>
      <c r="D56" s="330">
        <v>0</v>
      </c>
      <c r="E56" s="72">
        <f t="shared" si="0"/>
        <v>3773.21</v>
      </c>
      <c r="F56" s="72">
        <f t="shared" si="1"/>
        <v>301.85680000000002</v>
      </c>
      <c r="G56" s="76"/>
      <c r="H56" s="74" t="e">
        <f t="shared" si="9"/>
        <v>#REF!</v>
      </c>
      <c r="I56" s="232">
        <v>0</v>
      </c>
      <c r="J56" s="391">
        <f t="shared" si="4"/>
        <v>6.0499999999999998E-2</v>
      </c>
      <c r="K56" s="316"/>
      <c r="L56" s="316"/>
      <c r="M56" s="72">
        <f t="shared" si="2"/>
        <v>228.27920499999999</v>
      </c>
    </row>
    <row r="57" spans="1:13" ht="16.5" customHeight="1" x14ac:dyDescent="0.25">
      <c r="A57" s="328"/>
      <c r="B57" s="331" t="s">
        <v>8</v>
      </c>
      <c r="C57" s="332">
        <v>5096.3599999999997</v>
      </c>
      <c r="D57" s="330">
        <v>0</v>
      </c>
      <c r="E57" s="72">
        <f t="shared" si="0"/>
        <v>5096.3599999999997</v>
      </c>
      <c r="F57" s="72">
        <f t="shared" si="1"/>
        <v>407.7088</v>
      </c>
      <c r="G57" s="76"/>
      <c r="H57" s="74" t="e">
        <f t="shared" si="9"/>
        <v>#REF!</v>
      </c>
      <c r="I57" s="232">
        <v>0</v>
      </c>
      <c r="J57" s="391">
        <f t="shared" si="4"/>
        <v>6.0499999999999998E-2</v>
      </c>
      <c r="K57" s="316"/>
      <c r="L57" s="316"/>
      <c r="M57" s="72">
        <f t="shared" si="2"/>
        <v>308.32977999999997</v>
      </c>
    </row>
    <row r="58" spans="1:13" ht="16.5" customHeight="1" x14ac:dyDescent="0.25">
      <c r="A58" s="328"/>
      <c r="B58" s="331" t="s">
        <v>62</v>
      </c>
      <c r="C58" s="333">
        <v>1.55</v>
      </c>
      <c r="D58" s="330">
        <v>0</v>
      </c>
      <c r="E58" s="72">
        <f t="shared" si="0"/>
        <v>1.55</v>
      </c>
      <c r="F58" s="72">
        <f t="shared" si="1"/>
        <v>0.12400000000000001</v>
      </c>
      <c r="G58" s="76"/>
      <c r="H58" s="74" t="e">
        <f t="shared" si="9"/>
        <v>#REF!</v>
      </c>
      <c r="I58" s="232">
        <v>0</v>
      </c>
      <c r="J58" s="391">
        <f t="shared" si="4"/>
        <v>6.0499999999999998E-2</v>
      </c>
      <c r="K58" s="316"/>
      <c r="L58" s="316"/>
      <c r="M58" s="72">
        <f t="shared" si="2"/>
        <v>9.3774999999999997E-2</v>
      </c>
    </row>
    <row r="59" spans="1:13" ht="16.5" customHeight="1" x14ac:dyDescent="0.25">
      <c r="A59" s="328"/>
      <c r="B59" s="331" t="s">
        <v>27</v>
      </c>
      <c r="C59" s="333">
        <v>2342.88</v>
      </c>
      <c r="D59" s="330">
        <v>0</v>
      </c>
      <c r="E59" s="72">
        <f t="shared" si="0"/>
        <v>2342.88</v>
      </c>
      <c r="F59" s="72">
        <f t="shared" si="1"/>
        <v>187.43040000000002</v>
      </c>
      <c r="G59" s="76"/>
      <c r="H59" s="74" t="e">
        <f t="shared" si="9"/>
        <v>#REF!</v>
      </c>
      <c r="I59" s="232">
        <v>0</v>
      </c>
      <c r="J59" s="391">
        <f t="shared" si="4"/>
        <v>6.0499999999999998E-2</v>
      </c>
      <c r="K59" s="316"/>
      <c r="L59" s="316"/>
      <c r="M59" s="72">
        <f t="shared" si="2"/>
        <v>141.74423999999999</v>
      </c>
    </row>
    <row r="60" spans="1:13" ht="16.5" customHeight="1" x14ac:dyDescent="0.25">
      <c r="A60" s="328"/>
      <c r="B60" s="331" t="s">
        <v>63</v>
      </c>
      <c r="C60" s="333">
        <v>0.77</v>
      </c>
      <c r="D60" s="330">
        <v>0</v>
      </c>
      <c r="E60" s="72">
        <f t="shared" si="0"/>
        <v>0.77</v>
      </c>
      <c r="F60" s="72">
        <f t="shared" si="1"/>
        <v>6.1600000000000002E-2</v>
      </c>
      <c r="G60" s="76"/>
      <c r="H60" s="74" t="e">
        <f t="shared" si="9"/>
        <v>#REF!</v>
      </c>
      <c r="I60" s="232">
        <v>0</v>
      </c>
      <c r="J60" s="391">
        <f t="shared" si="4"/>
        <v>6.0499999999999998E-2</v>
      </c>
      <c r="K60" s="316"/>
      <c r="L60" s="316"/>
      <c r="M60" s="72">
        <f t="shared" si="2"/>
        <v>4.6585000000000001E-2</v>
      </c>
    </row>
    <row r="61" spans="1:13" ht="16.5" customHeight="1" x14ac:dyDescent="0.25">
      <c r="A61" s="328"/>
      <c r="B61" s="331" t="s">
        <v>125</v>
      </c>
      <c r="C61" s="333">
        <v>5.83</v>
      </c>
      <c r="D61" s="330">
        <v>0</v>
      </c>
      <c r="E61" s="72">
        <f t="shared" si="0"/>
        <v>5.83</v>
      </c>
      <c r="F61" s="72">
        <f t="shared" si="1"/>
        <v>0.46640000000000004</v>
      </c>
      <c r="G61" s="76"/>
      <c r="H61" s="74" t="e">
        <f t="shared" si="9"/>
        <v>#REF!</v>
      </c>
      <c r="I61" s="232">
        <v>0</v>
      </c>
      <c r="J61" s="391">
        <f t="shared" si="4"/>
        <v>6.0499999999999998E-2</v>
      </c>
      <c r="K61" s="316"/>
      <c r="L61" s="316"/>
      <c r="M61" s="72">
        <f t="shared" si="2"/>
        <v>0.352715</v>
      </c>
    </row>
    <row r="62" spans="1:13" ht="16.5" customHeight="1" x14ac:dyDescent="0.25">
      <c r="A62" s="328"/>
      <c r="B62" s="331" t="s">
        <v>65</v>
      </c>
      <c r="C62" s="333">
        <v>229.13</v>
      </c>
      <c r="D62" s="330">
        <v>0</v>
      </c>
      <c r="E62" s="72">
        <f t="shared" si="0"/>
        <v>229.13</v>
      </c>
      <c r="F62" s="72">
        <f t="shared" si="1"/>
        <v>18.330400000000001</v>
      </c>
      <c r="G62" s="76"/>
      <c r="H62" s="74" t="e">
        <f t="shared" si="9"/>
        <v>#REF!</v>
      </c>
      <c r="I62" s="232">
        <v>0</v>
      </c>
      <c r="J62" s="391">
        <f t="shared" si="4"/>
        <v>6.0499999999999998E-2</v>
      </c>
      <c r="K62" s="316"/>
      <c r="L62" s="316"/>
      <c r="M62" s="72">
        <f t="shared" si="2"/>
        <v>13.862364999999999</v>
      </c>
    </row>
    <row r="63" spans="1:13" ht="16.5" customHeight="1" x14ac:dyDescent="0.25">
      <c r="A63" s="328"/>
      <c r="B63" s="331" t="s">
        <v>66</v>
      </c>
      <c r="C63" s="333">
        <v>833.34</v>
      </c>
      <c r="D63" s="330">
        <v>0</v>
      </c>
      <c r="E63" s="72">
        <f t="shared" si="0"/>
        <v>833.34</v>
      </c>
      <c r="F63" s="72">
        <f t="shared" si="1"/>
        <v>66.667200000000008</v>
      </c>
      <c r="G63" s="76"/>
      <c r="H63" s="74" t="e">
        <f t="shared" si="9"/>
        <v>#REF!</v>
      </c>
      <c r="I63" s="232">
        <v>0</v>
      </c>
      <c r="J63" s="391">
        <f t="shared" si="4"/>
        <v>6.0499999999999998E-2</v>
      </c>
      <c r="K63" s="316"/>
      <c r="L63" s="316"/>
      <c r="M63" s="72">
        <f t="shared" si="2"/>
        <v>50.417070000000002</v>
      </c>
    </row>
    <row r="64" spans="1:13" ht="16.5" customHeight="1" x14ac:dyDescent="0.25">
      <c r="A64" s="328"/>
      <c r="B64" s="334" t="s">
        <v>9</v>
      </c>
      <c r="C64" s="333">
        <v>2321.63</v>
      </c>
      <c r="D64" s="330">
        <v>0</v>
      </c>
      <c r="E64" s="72">
        <f t="shared" si="0"/>
        <v>2321.63</v>
      </c>
      <c r="F64" s="72">
        <f t="shared" si="1"/>
        <v>185.7304</v>
      </c>
      <c r="G64" s="76"/>
      <c r="H64" s="74" t="e">
        <f t="shared" si="9"/>
        <v>#REF!</v>
      </c>
      <c r="I64" s="232">
        <v>0</v>
      </c>
      <c r="J64" s="391">
        <f t="shared" si="4"/>
        <v>6.0499999999999998E-2</v>
      </c>
      <c r="K64" s="316"/>
      <c r="L64" s="316"/>
      <c r="M64" s="72">
        <f t="shared" si="2"/>
        <v>140.45861500000001</v>
      </c>
    </row>
    <row r="65" spans="1:13" ht="16.5" customHeight="1" x14ac:dyDescent="0.25">
      <c r="A65" s="328"/>
      <c r="B65" s="331" t="s">
        <v>67</v>
      </c>
      <c r="C65" s="333">
        <v>292.02</v>
      </c>
      <c r="D65" s="330">
        <v>0</v>
      </c>
      <c r="E65" s="72">
        <f t="shared" si="0"/>
        <v>292.02</v>
      </c>
      <c r="F65" s="72">
        <f t="shared" si="1"/>
        <v>23.361599999999999</v>
      </c>
      <c r="G65" s="76"/>
      <c r="H65" s="74" t="e">
        <f t="shared" si="9"/>
        <v>#REF!</v>
      </c>
      <c r="I65" s="232">
        <v>0</v>
      </c>
      <c r="J65" s="391">
        <f t="shared" si="4"/>
        <v>6.0499999999999998E-2</v>
      </c>
      <c r="K65" s="316"/>
      <c r="L65" s="316"/>
      <c r="M65" s="72">
        <f t="shared" si="2"/>
        <v>17.667209999999997</v>
      </c>
    </row>
    <row r="66" spans="1:13" ht="16.5" customHeight="1" x14ac:dyDescent="0.25">
      <c r="A66" s="328"/>
      <c r="B66" s="331" t="s">
        <v>68</v>
      </c>
      <c r="C66" s="333">
        <v>331.99</v>
      </c>
      <c r="D66" s="330">
        <v>331.99</v>
      </c>
      <c r="E66" s="72">
        <f t="shared" si="0"/>
        <v>0</v>
      </c>
      <c r="F66" s="72">
        <f t="shared" si="1"/>
        <v>26.559200000000001</v>
      </c>
      <c r="G66" s="76">
        <v>44550</v>
      </c>
      <c r="H66" s="74" t="e">
        <f t="shared" si="9"/>
        <v>#REF!</v>
      </c>
      <c r="I66" s="232" t="e">
        <f>G66-H66</f>
        <v>#REF!</v>
      </c>
      <c r="J66" s="391">
        <f t="shared" si="4"/>
        <v>6.0499999999999998E-2</v>
      </c>
      <c r="K66" s="316"/>
      <c r="L66" s="316"/>
      <c r="M66" s="72">
        <f t="shared" si="2"/>
        <v>0</v>
      </c>
    </row>
    <row r="67" spans="1:13" ht="16.5" customHeight="1" x14ac:dyDescent="0.25">
      <c r="A67" s="328"/>
      <c r="B67" s="331" t="s">
        <v>232</v>
      </c>
      <c r="C67" s="333">
        <v>466.77</v>
      </c>
      <c r="D67" s="330">
        <v>0</v>
      </c>
      <c r="E67" s="72">
        <f t="shared" si="0"/>
        <v>466.77</v>
      </c>
      <c r="F67" s="72">
        <f t="shared" si="1"/>
        <v>37.3416</v>
      </c>
      <c r="G67" s="76"/>
      <c r="H67" s="74" t="e">
        <f t="shared" si="9"/>
        <v>#REF!</v>
      </c>
      <c r="I67" s="232">
        <v>0</v>
      </c>
      <c r="J67" s="391">
        <f t="shared" si="4"/>
        <v>6.0499999999999998E-2</v>
      </c>
      <c r="K67" s="316"/>
      <c r="L67" s="316"/>
      <c r="M67" s="72">
        <f t="shared" si="2"/>
        <v>28.239584999999998</v>
      </c>
    </row>
    <row r="68" spans="1:13" ht="16.5" customHeight="1" x14ac:dyDescent="0.25">
      <c r="A68" s="328"/>
      <c r="B68" s="331" t="s">
        <v>69</v>
      </c>
      <c r="C68" s="333">
        <v>208.33</v>
      </c>
      <c r="D68" s="330">
        <v>0</v>
      </c>
      <c r="E68" s="72">
        <f t="shared" si="0"/>
        <v>208.33</v>
      </c>
      <c r="F68" s="72">
        <f t="shared" si="1"/>
        <v>16.666400000000003</v>
      </c>
      <c r="G68" s="76"/>
      <c r="H68" s="74" t="e">
        <f t="shared" si="9"/>
        <v>#REF!</v>
      </c>
      <c r="I68" s="232">
        <v>0</v>
      </c>
      <c r="J68" s="391">
        <f t="shared" si="4"/>
        <v>6.0499999999999998E-2</v>
      </c>
      <c r="K68" s="316"/>
      <c r="L68" s="316"/>
      <c r="M68" s="72">
        <f t="shared" si="2"/>
        <v>12.603965000000001</v>
      </c>
    </row>
    <row r="69" spans="1:13" ht="16.5" customHeight="1" x14ac:dyDescent="0.25">
      <c r="A69" s="328"/>
      <c r="B69" s="331" t="s">
        <v>72</v>
      </c>
      <c r="C69" s="333">
        <v>4.1500000000000004</v>
      </c>
      <c r="D69" s="330">
        <v>0</v>
      </c>
      <c r="E69" s="72">
        <f t="shared" ref="E69:E106" si="10">C69-D69</f>
        <v>4.1500000000000004</v>
      </c>
      <c r="F69" s="72">
        <f t="shared" ref="F69:F106" si="11">C69*8%</f>
        <v>0.33200000000000002</v>
      </c>
      <c r="G69" s="76"/>
      <c r="H69" s="74" t="e">
        <f>H68</f>
        <v>#REF!</v>
      </c>
      <c r="I69" s="232">
        <v>0</v>
      </c>
      <c r="J69" s="391">
        <f>J68</f>
        <v>6.0499999999999998E-2</v>
      </c>
      <c r="K69" s="316"/>
      <c r="L69" s="316"/>
      <c r="M69" s="72">
        <f t="shared" ref="M69:M106" si="12">E69*J69</f>
        <v>0.25107499999999999</v>
      </c>
    </row>
    <row r="70" spans="1:13" ht="16.5" customHeight="1" x14ac:dyDescent="0.25">
      <c r="A70" s="328"/>
      <c r="B70" s="331" t="s">
        <v>73</v>
      </c>
      <c r="C70" s="333">
        <v>378.85</v>
      </c>
      <c r="D70" s="330">
        <v>0</v>
      </c>
      <c r="E70" s="72">
        <f t="shared" si="10"/>
        <v>378.85</v>
      </c>
      <c r="F70" s="72">
        <f t="shared" si="11"/>
        <v>30.308000000000003</v>
      </c>
      <c r="G70" s="76"/>
      <c r="H70" s="74" t="e">
        <f>#REF!</f>
        <v>#REF!</v>
      </c>
      <c r="I70" s="232">
        <v>0</v>
      </c>
      <c r="J70" s="391">
        <f t="shared" ref="J70:J106" si="13">J69</f>
        <v>6.0499999999999998E-2</v>
      </c>
      <c r="K70" s="316"/>
      <c r="L70" s="316"/>
      <c r="M70" s="72">
        <f t="shared" si="12"/>
        <v>22.920425000000002</v>
      </c>
    </row>
    <row r="71" spans="1:13" ht="16.5" customHeight="1" x14ac:dyDescent="0.25">
      <c r="A71" s="328"/>
      <c r="B71" s="331" t="s">
        <v>129</v>
      </c>
      <c r="C71" s="333">
        <v>1.6</v>
      </c>
      <c r="D71" s="330">
        <v>0</v>
      </c>
      <c r="E71" s="72">
        <f t="shared" si="10"/>
        <v>1.6</v>
      </c>
      <c r="F71" s="72">
        <f t="shared" si="11"/>
        <v>0.128</v>
      </c>
      <c r="G71" s="76"/>
      <c r="H71" s="74" t="e">
        <f t="shared" si="9"/>
        <v>#REF!</v>
      </c>
      <c r="I71" s="232">
        <v>0</v>
      </c>
      <c r="J71" s="391">
        <f t="shared" si="13"/>
        <v>6.0499999999999998E-2</v>
      </c>
      <c r="K71" s="316"/>
      <c r="L71" s="316"/>
      <c r="M71" s="72">
        <f t="shared" si="12"/>
        <v>9.6799999999999997E-2</v>
      </c>
    </row>
    <row r="72" spans="1:13" ht="16.5" customHeight="1" x14ac:dyDescent="0.25">
      <c r="A72" s="328"/>
      <c r="B72" s="331" t="s">
        <v>28</v>
      </c>
      <c r="C72" s="333">
        <v>829.65</v>
      </c>
      <c r="D72" s="330">
        <v>0</v>
      </c>
      <c r="E72" s="72">
        <f t="shared" si="10"/>
        <v>829.65</v>
      </c>
      <c r="F72" s="72">
        <f t="shared" si="11"/>
        <v>66.372</v>
      </c>
      <c r="G72" s="76"/>
      <c r="H72" s="74" t="e">
        <f t="shared" si="9"/>
        <v>#REF!</v>
      </c>
      <c r="I72" s="232">
        <v>0</v>
      </c>
      <c r="J72" s="391">
        <f t="shared" si="13"/>
        <v>6.0499999999999998E-2</v>
      </c>
      <c r="K72" s="316"/>
      <c r="L72" s="316"/>
      <c r="M72" s="72">
        <f t="shared" si="12"/>
        <v>50.193824999999997</v>
      </c>
    </row>
    <row r="73" spans="1:13" ht="16.5" customHeight="1" x14ac:dyDescent="0.25">
      <c r="A73" s="328"/>
      <c r="B73" s="331" t="s">
        <v>74</v>
      </c>
      <c r="C73" s="333">
        <v>2007.09</v>
      </c>
      <c r="D73" s="330">
        <v>0</v>
      </c>
      <c r="E73" s="72">
        <f t="shared" si="10"/>
        <v>2007.09</v>
      </c>
      <c r="F73" s="72">
        <f t="shared" si="11"/>
        <v>160.56719999999999</v>
      </c>
      <c r="G73" s="76"/>
      <c r="H73" s="74" t="e">
        <f t="shared" si="9"/>
        <v>#REF!</v>
      </c>
      <c r="I73" s="232">
        <v>0</v>
      </c>
      <c r="J73" s="391">
        <f t="shared" si="13"/>
        <v>6.0499999999999998E-2</v>
      </c>
      <c r="K73" s="316"/>
      <c r="L73" s="316"/>
      <c r="M73" s="72">
        <f t="shared" si="12"/>
        <v>121.42894499999998</v>
      </c>
    </row>
    <row r="74" spans="1:13" ht="16.5" customHeight="1" x14ac:dyDescent="0.25">
      <c r="A74" s="328"/>
      <c r="B74" s="331" t="s">
        <v>29</v>
      </c>
      <c r="C74" s="333">
        <v>1202.55</v>
      </c>
      <c r="D74" s="330">
        <v>0</v>
      </c>
      <c r="E74" s="72">
        <f t="shared" si="10"/>
        <v>1202.55</v>
      </c>
      <c r="F74" s="72">
        <f t="shared" si="11"/>
        <v>96.203999999999994</v>
      </c>
      <c r="G74" s="76"/>
      <c r="H74" s="74" t="e">
        <f t="shared" si="9"/>
        <v>#REF!</v>
      </c>
      <c r="I74" s="232">
        <v>0</v>
      </c>
      <c r="J74" s="391">
        <f t="shared" si="13"/>
        <v>6.0499999999999998E-2</v>
      </c>
      <c r="K74" s="316"/>
      <c r="L74" s="316"/>
      <c r="M74" s="72">
        <f t="shared" si="12"/>
        <v>72.754274999999993</v>
      </c>
    </row>
    <row r="75" spans="1:13" ht="16.5" customHeight="1" x14ac:dyDescent="0.25">
      <c r="A75" s="328"/>
      <c r="B75" s="331" t="s">
        <v>10</v>
      </c>
      <c r="C75" s="333">
        <v>58.27</v>
      </c>
      <c r="D75" s="330">
        <v>0</v>
      </c>
      <c r="E75" s="72">
        <f t="shared" si="10"/>
        <v>58.27</v>
      </c>
      <c r="F75" s="72">
        <f t="shared" si="11"/>
        <v>4.6616</v>
      </c>
      <c r="G75" s="76"/>
      <c r="H75" s="74" t="e">
        <f t="shared" si="9"/>
        <v>#REF!</v>
      </c>
      <c r="I75" s="232">
        <v>0</v>
      </c>
      <c r="J75" s="391">
        <f t="shared" si="13"/>
        <v>6.0499999999999998E-2</v>
      </c>
      <c r="K75" s="316"/>
      <c r="L75" s="316"/>
      <c r="M75" s="72">
        <f t="shared" si="12"/>
        <v>3.5253350000000001</v>
      </c>
    </row>
    <row r="76" spans="1:13" ht="16.5" customHeight="1" x14ac:dyDescent="0.25">
      <c r="A76" s="328"/>
      <c r="B76" s="331" t="s">
        <v>77</v>
      </c>
      <c r="C76" s="333">
        <v>926.22</v>
      </c>
      <c r="D76" s="330">
        <v>0</v>
      </c>
      <c r="E76" s="72">
        <f t="shared" si="10"/>
        <v>926.22</v>
      </c>
      <c r="F76" s="72">
        <f t="shared" si="11"/>
        <v>74.0976</v>
      </c>
      <c r="G76" s="76"/>
      <c r="H76" s="74" t="e">
        <f t="shared" si="9"/>
        <v>#REF!</v>
      </c>
      <c r="I76" s="232">
        <v>0</v>
      </c>
      <c r="J76" s="391">
        <f t="shared" si="13"/>
        <v>6.0499999999999998E-2</v>
      </c>
      <c r="K76" s="316"/>
      <c r="L76" s="316"/>
      <c r="M76" s="72">
        <f t="shared" si="12"/>
        <v>56.03631</v>
      </c>
    </row>
    <row r="77" spans="1:13" ht="16.5" customHeight="1" x14ac:dyDescent="0.25">
      <c r="A77" s="328"/>
      <c r="B77" s="331" t="s">
        <v>11</v>
      </c>
      <c r="C77" s="332">
        <v>1725.73</v>
      </c>
      <c r="D77" s="330">
        <v>0</v>
      </c>
      <c r="E77" s="72">
        <f t="shared" si="10"/>
        <v>1725.73</v>
      </c>
      <c r="F77" s="72">
        <f t="shared" si="11"/>
        <v>138.05840000000001</v>
      </c>
      <c r="G77" s="76"/>
      <c r="H77" s="74" t="e">
        <f t="shared" si="9"/>
        <v>#REF!</v>
      </c>
      <c r="I77" s="232">
        <v>0</v>
      </c>
      <c r="J77" s="391">
        <f t="shared" si="13"/>
        <v>6.0499999999999998E-2</v>
      </c>
      <c r="K77" s="316"/>
      <c r="L77" s="316"/>
      <c r="M77" s="72">
        <f t="shared" si="12"/>
        <v>104.406665</v>
      </c>
    </row>
    <row r="78" spans="1:13" ht="16.5" customHeight="1" x14ac:dyDescent="0.25">
      <c r="A78" s="328"/>
      <c r="B78" s="331" t="s">
        <v>78</v>
      </c>
      <c r="C78" s="333">
        <v>891.88</v>
      </c>
      <c r="D78" s="330">
        <v>0</v>
      </c>
      <c r="E78" s="72">
        <f t="shared" si="10"/>
        <v>891.88</v>
      </c>
      <c r="F78" s="72">
        <f t="shared" si="11"/>
        <v>71.350400000000008</v>
      </c>
      <c r="G78" s="76"/>
      <c r="H78" s="74" t="e">
        <f t="shared" si="9"/>
        <v>#REF!</v>
      </c>
      <c r="I78" s="232">
        <v>0</v>
      </c>
      <c r="J78" s="391">
        <f t="shared" si="13"/>
        <v>6.0499999999999998E-2</v>
      </c>
      <c r="K78" s="316"/>
      <c r="L78" s="316"/>
      <c r="M78" s="72">
        <f t="shared" si="12"/>
        <v>53.958739999999999</v>
      </c>
    </row>
    <row r="79" spans="1:13" ht="16.5" customHeight="1" x14ac:dyDescent="0.25">
      <c r="A79" s="328"/>
      <c r="B79" s="334" t="s">
        <v>12</v>
      </c>
      <c r="C79" s="333">
        <v>854.75</v>
      </c>
      <c r="D79" s="330">
        <v>0</v>
      </c>
      <c r="E79" s="72">
        <f t="shared" si="10"/>
        <v>854.75</v>
      </c>
      <c r="F79" s="72">
        <f t="shared" si="11"/>
        <v>68.38</v>
      </c>
      <c r="G79" s="76"/>
      <c r="H79" s="74" t="e">
        <f t="shared" si="9"/>
        <v>#REF!</v>
      </c>
      <c r="I79" s="232">
        <v>0</v>
      </c>
      <c r="J79" s="391">
        <f t="shared" si="13"/>
        <v>6.0499999999999998E-2</v>
      </c>
      <c r="K79" s="316"/>
      <c r="L79" s="316"/>
      <c r="M79" s="72">
        <f t="shared" si="12"/>
        <v>51.712375000000002</v>
      </c>
    </row>
    <row r="80" spans="1:13" ht="16.5" customHeight="1" x14ac:dyDescent="0.25">
      <c r="A80" s="328"/>
      <c r="B80" s="334" t="s">
        <v>13</v>
      </c>
      <c r="C80" s="333">
        <v>1090.07</v>
      </c>
      <c r="D80" s="330">
        <v>0</v>
      </c>
      <c r="E80" s="72">
        <f t="shared" si="10"/>
        <v>1090.07</v>
      </c>
      <c r="F80" s="72">
        <f t="shared" si="11"/>
        <v>87.20559999999999</v>
      </c>
      <c r="G80" s="76"/>
      <c r="H80" s="74" t="e">
        <f t="shared" si="9"/>
        <v>#REF!</v>
      </c>
      <c r="I80" s="232">
        <v>0</v>
      </c>
      <c r="J80" s="391">
        <f t="shared" si="13"/>
        <v>6.0499999999999998E-2</v>
      </c>
      <c r="K80" s="316"/>
      <c r="L80" s="316"/>
      <c r="M80" s="72">
        <f t="shared" si="12"/>
        <v>65.949234999999987</v>
      </c>
    </row>
    <row r="81" spans="1:13" ht="16.5" customHeight="1" x14ac:dyDescent="0.25">
      <c r="A81" s="328"/>
      <c r="B81" s="331" t="s">
        <v>79</v>
      </c>
      <c r="C81" s="333">
        <v>541.66999999999996</v>
      </c>
      <c r="D81" s="330">
        <v>0</v>
      </c>
      <c r="E81" s="72">
        <f t="shared" si="10"/>
        <v>541.66999999999996</v>
      </c>
      <c r="F81" s="72">
        <f t="shared" si="11"/>
        <v>43.333599999999997</v>
      </c>
      <c r="G81" s="76"/>
      <c r="H81" s="74" t="e">
        <f t="shared" si="9"/>
        <v>#REF!</v>
      </c>
      <c r="I81" s="232">
        <v>0</v>
      </c>
      <c r="J81" s="391">
        <f t="shared" si="13"/>
        <v>6.0499999999999998E-2</v>
      </c>
      <c r="K81" s="316"/>
      <c r="L81" s="316"/>
      <c r="M81" s="72">
        <f t="shared" si="12"/>
        <v>32.771034999999998</v>
      </c>
    </row>
    <row r="82" spans="1:13" ht="16.5" customHeight="1" x14ac:dyDescent="0.25">
      <c r="A82" s="328"/>
      <c r="B82" s="331" t="s">
        <v>80</v>
      </c>
      <c r="C82" s="333">
        <v>1127.1500000000001</v>
      </c>
      <c r="D82" s="330">
        <v>0</v>
      </c>
      <c r="E82" s="72">
        <f t="shared" si="10"/>
        <v>1127.1500000000001</v>
      </c>
      <c r="F82" s="72">
        <f t="shared" si="11"/>
        <v>90.172000000000011</v>
      </c>
      <c r="G82" s="76"/>
      <c r="H82" s="74" t="e">
        <f t="shared" si="9"/>
        <v>#REF!</v>
      </c>
      <c r="I82" s="232">
        <v>0</v>
      </c>
      <c r="J82" s="391">
        <f t="shared" si="13"/>
        <v>6.0499999999999998E-2</v>
      </c>
      <c r="K82" s="316"/>
      <c r="L82" s="316"/>
      <c r="M82" s="72">
        <f t="shared" si="12"/>
        <v>68.192575000000005</v>
      </c>
    </row>
    <row r="83" spans="1:13" ht="16.5" customHeight="1" x14ac:dyDescent="0.25">
      <c r="A83" s="328"/>
      <c r="B83" s="331" t="s">
        <v>81</v>
      </c>
      <c r="C83" s="333">
        <v>798.73</v>
      </c>
      <c r="D83" s="330">
        <v>0</v>
      </c>
      <c r="E83" s="72">
        <f t="shared" si="10"/>
        <v>798.73</v>
      </c>
      <c r="F83" s="72">
        <f t="shared" si="11"/>
        <v>63.898400000000002</v>
      </c>
      <c r="G83" s="76"/>
      <c r="H83" s="74" t="e">
        <f t="shared" si="9"/>
        <v>#REF!</v>
      </c>
      <c r="I83" s="232">
        <v>0</v>
      </c>
      <c r="J83" s="391">
        <f t="shared" si="13"/>
        <v>6.0499999999999998E-2</v>
      </c>
      <c r="K83" s="316"/>
      <c r="L83" s="316"/>
      <c r="M83" s="72">
        <f t="shared" si="12"/>
        <v>48.323165000000003</v>
      </c>
    </row>
    <row r="84" spans="1:13" ht="16.5" customHeight="1" x14ac:dyDescent="0.25">
      <c r="A84" s="328"/>
      <c r="B84" s="334" t="s">
        <v>104</v>
      </c>
      <c r="C84" s="333">
        <v>1223.96</v>
      </c>
      <c r="D84" s="330">
        <v>0</v>
      </c>
      <c r="E84" s="72">
        <f t="shared" si="10"/>
        <v>1223.96</v>
      </c>
      <c r="F84" s="72">
        <f t="shared" si="11"/>
        <v>97.916800000000009</v>
      </c>
      <c r="G84" s="76"/>
      <c r="H84" s="74" t="e">
        <f t="shared" si="9"/>
        <v>#REF!</v>
      </c>
      <c r="I84" s="232">
        <v>0</v>
      </c>
      <c r="J84" s="391">
        <f t="shared" si="13"/>
        <v>6.0499999999999998E-2</v>
      </c>
      <c r="K84" s="316"/>
      <c r="L84" s="316"/>
      <c r="M84" s="72">
        <f t="shared" si="12"/>
        <v>74.049580000000006</v>
      </c>
    </row>
    <row r="85" spans="1:13" ht="16.5" customHeight="1" x14ac:dyDescent="0.25">
      <c r="A85" s="328"/>
      <c r="B85" s="331" t="s">
        <v>82</v>
      </c>
      <c r="C85" s="333">
        <v>832.72</v>
      </c>
      <c r="D85" s="330">
        <v>0</v>
      </c>
      <c r="E85" s="72">
        <f t="shared" si="10"/>
        <v>832.72</v>
      </c>
      <c r="F85" s="72">
        <f t="shared" si="11"/>
        <v>66.61760000000001</v>
      </c>
      <c r="G85" s="76"/>
      <c r="H85" s="74" t="e">
        <f t="shared" si="9"/>
        <v>#REF!</v>
      </c>
      <c r="I85" s="232">
        <v>0</v>
      </c>
      <c r="J85" s="391">
        <f t="shared" si="13"/>
        <v>6.0499999999999998E-2</v>
      </c>
      <c r="K85" s="316"/>
      <c r="L85" s="316"/>
      <c r="M85" s="72">
        <f t="shared" si="12"/>
        <v>50.379559999999998</v>
      </c>
    </row>
    <row r="86" spans="1:13" ht="16.5" customHeight="1" x14ac:dyDescent="0.25">
      <c r="A86" s="328"/>
      <c r="B86" s="331" t="s">
        <v>102</v>
      </c>
      <c r="C86" s="332">
        <v>2441.86</v>
      </c>
      <c r="D86" s="330">
        <v>0</v>
      </c>
      <c r="E86" s="72">
        <f t="shared" si="10"/>
        <v>2441.86</v>
      </c>
      <c r="F86" s="72">
        <f t="shared" si="11"/>
        <v>195.34880000000001</v>
      </c>
      <c r="G86" s="76"/>
      <c r="H86" s="74" t="e">
        <f t="shared" si="9"/>
        <v>#REF!</v>
      </c>
      <c r="I86" s="232">
        <v>0</v>
      </c>
      <c r="J86" s="391">
        <f t="shared" si="13"/>
        <v>6.0499999999999998E-2</v>
      </c>
      <c r="K86" s="316"/>
      <c r="L86" s="316"/>
      <c r="M86" s="72">
        <f t="shared" si="12"/>
        <v>147.73253</v>
      </c>
    </row>
    <row r="87" spans="1:13" ht="16.5" customHeight="1" x14ac:dyDescent="0.25">
      <c r="A87" s="328"/>
      <c r="B87" s="331" t="s">
        <v>112</v>
      </c>
      <c r="C87" s="333">
        <v>4.1500000000000004</v>
      </c>
      <c r="D87" s="330">
        <v>0</v>
      </c>
      <c r="E87" s="72">
        <f t="shared" si="10"/>
        <v>4.1500000000000004</v>
      </c>
      <c r="F87" s="72">
        <f t="shared" si="11"/>
        <v>0.33200000000000002</v>
      </c>
      <c r="G87" s="76"/>
      <c r="H87" s="74" t="e">
        <f t="shared" si="9"/>
        <v>#REF!</v>
      </c>
      <c r="I87" s="232">
        <v>0</v>
      </c>
      <c r="J87" s="391">
        <f t="shared" si="13"/>
        <v>6.0499999999999998E-2</v>
      </c>
      <c r="K87" s="316"/>
      <c r="L87" s="316"/>
      <c r="M87" s="72">
        <f t="shared" si="12"/>
        <v>0.25107499999999999</v>
      </c>
    </row>
    <row r="88" spans="1:13" ht="16.5" customHeight="1" x14ac:dyDescent="0.25">
      <c r="A88" s="328"/>
      <c r="B88" s="331" t="s">
        <v>31</v>
      </c>
      <c r="C88" s="333">
        <v>2347.4</v>
      </c>
      <c r="D88" s="330">
        <v>0</v>
      </c>
      <c r="E88" s="72">
        <f t="shared" si="10"/>
        <v>2347.4</v>
      </c>
      <c r="F88" s="72">
        <f t="shared" si="11"/>
        <v>187.792</v>
      </c>
      <c r="G88" s="76"/>
      <c r="H88" s="74" t="e">
        <f t="shared" si="9"/>
        <v>#REF!</v>
      </c>
      <c r="I88" s="232">
        <v>0</v>
      </c>
      <c r="J88" s="391">
        <f t="shared" si="13"/>
        <v>6.0499999999999998E-2</v>
      </c>
      <c r="K88" s="316"/>
      <c r="L88" s="316"/>
      <c r="M88" s="72">
        <f t="shared" si="12"/>
        <v>142.01769999999999</v>
      </c>
    </row>
    <row r="89" spans="1:13" ht="16.5" customHeight="1" x14ac:dyDescent="0.25">
      <c r="A89" s="328"/>
      <c r="B89" s="331" t="s">
        <v>85</v>
      </c>
      <c r="C89" s="333">
        <v>5.46</v>
      </c>
      <c r="D89" s="330">
        <v>0</v>
      </c>
      <c r="E89" s="72">
        <f t="shared" si="10"/>
        <v>5.46</v>
      </c>
      <c r="F89" s="72">
        <f t="shared" si="11"/>
        <v>0.43680000000000002</v>
      </c>
      <c r="G89" s="76"/>
      <c r="H89" s="74" t="e">
        <f t="shared" si="9"/>
        <v>#REF!</v>
      </c>
      <c r="I89" s="232">
        <v>0</v>
      </c>
      <c r="J89" s="391">
        <f t="shared" si="13"/>
        <v>6.0499999999999998E-2</v>
      </c>
      <c r="K89" s="316"/>
      <c r="L89" s="316"/>
      <c r="M89" s="72">
        <f t="shared" si="12"/>
        <v>0.33033000000000001</v>
      </c>
    </row>
    <row r="90" spans="1:13" ht="16.5" customHeight="1" x14ac:dyDescent="0.25">
      <c r="A90" s="328"/>
      <c r="B90" s="331" t="s">
        <v>32</v>
      </c>
      <c r="C90" s="333">
        <v>1251.78</v>
      </c>
      <c r="D90" s="330">
        <v>0</v>
      </c>
      <c r="E90" s="72">
        <f t="shared" si="10"/>
        <v>1251.78</v>
      </c>
      <c r="F90" s="72">
        <f t="shared" si="11"/>
        <v>100.14239999999999</v>
      </c>
      <c r="G90" s="76"/>
      <c r="H90" s="74" t="e">
        <f t="shared" si="9"/>
        <v>#REF!</v>
      </c>
      <c r="I90" s="232">
        <v>0</v>
      </c>
      <c r="J90" s="391">
        <f t="shared" si="13"/>
        <v>6.0499999999999998E-2</v>
      </c>
      <c r="K90" s="316"/>
      <c r="L90" s="316"/>
      <c r="M90" s="72">
        <f t="shared" si="12"/>
        <v>75.732689999999991</v>
      </c>
    </row>
    <row r="91" spans="1:13" ht="16.5" customHeight="1" x14ac:dyDescent="0.25">
      <c r="A91" s="328"/>
      <c r="B91" s="331" t="s">
        <v>87</v>
      </c>
      <c r="C91" s="333">
        <v>2.4500000000000002</v>
      </c>
      <c r="D91" s="330">
        <v>0</v>
      </c>
      <c r="E91" s="72">
        <f t="shared" si="10"/>
        <v>2.4500000000000002</v>
      </c>
      <c r="F91" s="72">
        <f t="shared" si="11"/>
        <v>0.19600000000000001</v>
      </c>
      <c r="G91" s="76"/>
      <c r="H91" s="74" t="e">
        <f t="shared" si="9"/>
        <v>#REF!</v>
      </c>
      <c r="I91" s="232">
        <v>0</v>
      </c>
      <c r="J91" s="391">
        <f t="shared" si="13"/>
        <v>6.0499999999999998E-2</v>
      </c>
      <c r="K91" s="316"/>
      <c r="L91" s="316"/>
      <c r="M91" s="72">
        <f t="shared" si="12"/>
        <v>0.148225</v>
      </c>
    </row>
    <row r="92" spans="1:13" ht="16.5" customHeight="1" x14ac:dyDescent="0.25">
      <c r="A92" s="328"/>
      <c r="B92" s="331" t="s">
        <v>88</v>
      </c>
      <c r="C92" s="333">
        <v>4.1500000000000004</v>
      </c>
      <c r="D92" s="330">
        <v>0</v>
      </c>
      <c r="E92" s="72">
        <f t="shared" si="10"/>
        <v>4.1500000000000004</v>
      </c>
      <c r="F92" s="72">
        <f t="shared" si="11"/>
        <v>0.33200000000000002</v>
      </c>
      <c r="G92" s="76"/>
      <c r="H92" s="74" t="e">
        <f t="shared" si="9"/>
        <v>#REF!</v>
      </c>
      <c r="I92" s="232">
        <v>0</v>
      </c>
      <c r="J92" s="391">
        <f t="shared" si="13"/>
        <v>6.0499999999999998E-2</v>
      </c>
      <c r="K92" s="316"/>
      <c r="L92" s="316"/>
      <c r="M92" s="72">
        <f t="shared" si="12"/>
        <v>0.25107499999999999</v>
      </c>
    </row>
    <row r="93" spans="1:13" ht="16.5" customHeight="1" x14ac:dyDescent="0.25">
      <c r="A93" s="328"/>
      <c r="B93" s="331" t="s">
        <v>89</v>
      </c>
      <c r="C93" s="333">
        <v>3.72</v>
      </c>
      <c r="D93" s="330">
        <v>0</v>
      </c>
      <c r="E93" s="72">
        <f t="shared" si="10"/>
        <v>3.72</v>
      </c>
      <c r="F93" s="72">
        <f t="shared" si="11"/>
        <v>0.29760000000000003</v>
      </c>
      <c r="G93" s="76"/>
      <c r="H93" s="74" t="e">
        <f t="shared" si="9"/>
        <v>#REF!</v>
      </c>
      <c r="I93" s="232">
        <v>0</v>
      </c>
      <c r="J93" s="391">
        <f t="shared" si="13"/>
        <v>6.0499999999999998E-2</v>
      </c>
      <c r="K93" s="316"/>
      <c r="L93" s="316"/>
      <c r="M93" s="72">
        <f t="shared" si="12"/>
        <v>0.22506000000000001</v>
      </c>
    </row>
    <row r="94" spans="1:13" ht="16.5" customHeight="1" x14ac:dyDescent="0.25">
      <c r="A94" s="328"/>
      <c r="B94" s="331" t="s">
        <v>113</v>
      </c>
      <c r="C94" s="333">
        <v>281.93</v>
      </c>
      <c r="D94" s="330">
        <v>281.93</v>
      </c>
      <c r="E94" s="72">
        <f t="shared" si="10"/>
        <v>0</v>
      </c>
      <c r="F94" s="72">
        <f t="shared" si="11"/>
        <v>22.554400000000001</v>
      </c>
      <c r="G94" s="76">
        <v>44567</v>
      </c>
      <c r="H94" s="74" t="e">
        <f t="shared" si="9"/>
        <v>#REF!</v>
      </c>
      <c r="I94" s="232" t="e">
        <f>G94-H94</f>
        <v>#REF!</v>
      </c>
      <c r="J94" s="391">
        <f t="shared" si="13"/>
        <v>6.0499999999999998E-2</v>
      </c>
      <c r="K94" s="316"/>
      <c r="L94" s="316"/>
      <c r="M94" s="72">
        <f t="shared" si="12"/>
        <v>0</v>
      </c>
    </row>
    <row r="95" spans="1:13" ht="16.5" customHeight="1" x14ac:dyDescent="0.25">
      <c r="A95" s="328"/>
      <c r="B95" s="331" t="s">
        <v>222</v>
      </c>
      <c r="C95" s="333">
        <v>304.51</v>
      </c>
      <c r="D95" s="330">
        <v>304.51</v>
      </c>
      <c r="E95" s="72">
        <f t="shared" si="10"/>
        <v>0</v>
      </c>
      <c r="F95" s="72">
        <f t="shared" si="11"/>
        <v>24.360800000000001</v>
      </c>
      <c r="G95" s="76">
        <v>44550</v>
      </c>
      <c r="H95" s="74" t="e">
        <f t="shared" si="9"/>
        <v>#REF!</v>
      </c>
      <c r="I95" s="232" t="e">
        <f>G95-H95</f>
        <v>#REF!</v>
      </c>
      <c r="J95" s="391">
        <f t="shared" si="13"/>
        <v>6.0499999999999998E-2</v>
      </c>
      <c r="K95" s="316"/>
      <c r="L95" s="316"/>
      <c r="M95" s="72">
        <f t="shared" si="12"/>
        <v>0</v>
      </c>
    </row>
    <row r="96" spans="1:13" ht="16.5" customHeight="1" x14ac:dyDescent="0.25">
      <c r="A96" s="328"/>
      <c r="B96" s="331" t="s">
        <v>90</v>
      </c>
      <c r="C96" s="333">
        <v>5.64</v>
      </c>
      <c r="D96" s="330">
        <v>0</v>
      </c>
      <c r="E96" s="72">
        <f t="shared" si="10"/>
        <v>5.64</v>
      </c>
      <c r="F96" s="72">
        <f t="shared" si="11"/>
        <v>0.45119999999999999</v>
      </c>
      <c r="G96" s="76"/>
      <c r="H96" s="74" t="e">
        <f t="shared" si="9"/>
        <v>#REF!</v>
      </c>
      <c r="I96" s="232">
        <v>0</v>
      </c>
      <c r="J96" s="391">
        <f t="shared" si="13"/>
        <v>6.0499999999999998E-2</v>
      </c>
      <c r="K96" s="316"/>
      <c r="L96" s="316"/>
      <c r="M96" s="72">
        <f t="shared" si="12"/>
        <v>0.34121999999999997</v>
      </c>
    </row>
    <row r="97" spans="1:13" ht="16.5" customHeight="1" x14ac:dyDescent="0.25">
      <c r="A97" s="328"/>
      <c r="B97" s="331" t="s">
        <v>93</v>
      </c>
      <c r="C97" s="333">
        <v>1.6</v>
      </c>
      <c r="D97" s="330">
        <v>0</v>
      </c>
      <c r="E97" s="72">
        <f t="shared" si="10"/>
        <v>1.6</v>
      </c>
      <c r="F97" s="72">
        <f t="shared" si="11"/>
        <v>0.128</v>
      </c>
      <c r="G97" s="76"/>
      <c r="H97" s="74" t="e">
        <f>H96</f>
        <v>#REF!</v>
      </c>
      <c r="I97" s="232">
        <v>0</v>
      </c>
      <c r="J97" s="391">
        <f>J96</f>
        <v>6.0499999999999998E-2</v>
      </c>
      <c r="K97" s="316"/>
      <c r="L97" s="316"/>
      <c r="M97" s="72">
        <f t="shared" si="12"/>
        <v>9.6799999999999997E-2</v>
      </c>
    </row>
    <row r="98" spans="1:13" ht="16.5" customHeight="1" x14ac:dyDescent="0.25">
      <c r="A98" s="328"/>
      <c r="B98" s="331" t="s">
        <v>94</v>
      </c>
      <c r="C98" s="333">
        <v>1289.67</v>
      </c>
      <c r="D98" s="330">
        <v>0</v>
      </c>
      <c r="E98" s="72">
        <f t="shared" si="10"/>
        <v>1289.67</v>
      </c>
      <c r="F98" s="72">
        <f t="shared" si="11"/>
        <v>103.17360000000001</v>
      </c>
      <c r="G98" s="76"/>
      <c r="H98" s="74" t="e">
        <f>#REF!</f>
        <v>#REF!</v>
      </c>
      <c r="I98" s="232">
        <v>0</v>
      </c>
      <c r="J98" s="391">
        <f t="shared" si="13"/>
        <v>6.0499999999999998E-2</v>
      </c>
      <c r="K98" s="316"/>
      <c r="L98" s="316"/>
      <c r="M98" s="72">
        <f t="shared" si="12"/>
        <v>78.025035000000003</v>
      </c>
    </row>
    <row r="99" spans="1:13" ht="16.5" customHeight="1" x14ac:dyDescent="0.25">
      <c r="A99" s="328"/>
      <c r="B99" s="331" t="s">
        <v>95</v>
      </c>
      <c r="C99" s="333">
        <v>851</v>
      </c>
      <c r="D99" s="330">
        <v>0</v>
      </c>
      <c r="E99" s="72">
        <f t="shared" si="10"/>
        <v>851</v>
      </c>
      <c r="F99" s="72">
        <f t="shared" si="11"/>
        <v>68.08</v>
      </c>
      <c r="G99" s="76"/>
      <c r="H99" s="74" t="e">
        <f t="shared" si="9"/>
        <v>#REF!</v>
      </c>
      <c r="I99" s="232">
        <v>0</v>
      </c>
      <c r="J99" s="391">
        <f t="shared" si="13"/>
        <v>6.0499999999999998E-2</v>
      </c>
      <c r="K99" s="316"/>
      <c r="L99" s="316"/>
      <c r="M99" s="72">
        <f t="shared" si="12"/>
        <v>51.485500000000002</v>
      </c>
    </row>
    <row r="100" spans="1:13" ht="16.5" customHeight="1" x14ac:dyDescent="0.25">
      <c r="A100" s="328"/>
      <c r="B100" s="331" t="s">
        <v>223</v>
      </c>
      <c r="C100" s="333">
        <v>304.54000000000002</v>
      </c>
      <c r="D100" s="330">
        <v>0</v>
      </c>
      <c r="E100" s="72">
        <f t="shared" si="10"/>
        <v>304.54000000000002</v>
      </c>
      <c r="F100" s="72">
        <f t="shared" si="11"/>
        <v>24.363200000000003</v>
      </c>
      <c r="G100" s="76"/>
      <c r="H100" s="74" t="e">
        <f t="shared" si="9"/>
        <v>#REF!</v>
      </c>
      <c r="I100" s="232">
        <v>0</v>
      </c>
      <c r="J100" s="391">
        <f t="shared" si="13"/>
        <v>6.0499999999999998E-2</v>
      </c>
      <c r="K100" s="316"/>
      <c r="L100" s="316"/>
      <c r="M100" s="72">
        <f t="shared" si="12"/>
        <v>18.424669999999999</v>
      </c>
    </row>
    <row r="101" spans="1:13" ht="16.5" customHeight="1" x14ac:dyDescent="0.25">
      <c r="A101" s="328"/>
      <c r="B101" s="334" t="s">
        <v>15</v>
      </c>
      <c r="C101" s="333">
        <v>141.26</v>
      </c>
      <c r="D101" s="330">
        <v>0</v>
      </c>
      <c r="E101" s="72">
        <f t="shared" si="10"/>
        <v>141.26</v>
      </c>
      <c r="F101" s="72">
        <f t="shared" si="11"/>
        <v>11.300799999999999</v>
      </c>
      <c r="G101" s="76"/>
      <c r="H101" s="74" t="e">
        <f t="shared" si="9"/>
        <v>#REF!</v>
      </c>
      <c r="I101" s="232">
        <v>0</v>
      </c>
      <c r="J101" s="391">
        <f t="shared" si="13"/>
        <v>6.0499999999999998E-2</v>
      </c>
      <c r="K101" s="316"/>
      <c r="L101" s="316"/>
      <c r="M101" s="72">
        <f t="shared" si="12"/>
        <v>8.5462299999999995</v>
      </c>
    </row>
    <row r="102" spans="1:13" ht="16.5" customHeight="1" x14ac:dyDescent="0.25">
      <c r="A102" s="328"/>
      <c r="B102" s="331" t="s">
        <v>136</v>
      </c>
      <c r="C102" s="333">
        <v>304.54000000000002</v>
      </c>
      <c r="D102" s="330">
        <v>0</v>
      </c>
      <c r="E102" s="72">
        <f t="shared" si="10"/>
        <v>304.54000000000002</v>
      </c>
      <c r="F102" s="72">
        <f t="shared" si="11"/>
        <v>24.363200000000003</v>
      </c>
      <c r="G102" s="76"/>
      <c r="H102" s="74" t="e">
        <f>H101</f>
        <v>#REF!</v>
      </c>
      <c r="I102" s="232">
        <v>0</v>
      </c>
      <c r="J102" s="391">
        <f>J101</f>
        <v>6.0499999999999998E-2</v>
      </c>
      <c r="K102" s="316"/>
      <c r="L102" s="316"/>
      <c r="M102" s="72">
        <f t="shared" si="12"/>
        <v>18.424669999999999</v>
      </c>
    </row>
    <row r="103" spans="1:13" ht="16.5" customHeight="1" x14ac:dyDescent="0.25">
      <c r="A103" s="328"/>
      <c r="B103" s="331" t="s">
        <v>98</v>
      </c>
      <c r="C103" s="332">
        <v>1887.24</v>
      </c>
      <c r="D103" s="330">
        <v>0</v>
      </c>
      <c r="E103" s="72">
        <f t="shared" si="10"/>
        <v>1887.24</v>
      </c>
      <c r="F103" s="72">
        <f t="shared" si="11"/>
        <v>150.97919999999999</v>
      </c>
      <c r="G103" s="76"/>
      <c r="H103" s="74" t="e">
        <f>#REF!</f>
        <v>#REF!</v>
      </c>
      <c r="I103" s="232">
        <v>0</v>
      </c>
      <c r="J103" s="391">
        <f t="shared" si="13"/>
        <v>6.0499999999999998E-2</v>
      </c>
      <c r="K103" s="316"/>
      <c r="L103" s="316"/>
      <c r="M103" s="72">
        <f t="shared" si="12"/>
        <v>114.17802</v>
      </c>
    </row>
    <row r="104" spans="1:13" ht="16.5" customHeight="1" x14ac:dyDescent="0.25">
      <c r="A104" s="328"/>
      <c r="B104" s="331" t="s">
        <v>99</v>
      </c>
      <c r="C104" s="333">
        <v>1136.45</v>
      </c>
      <c r="D104" s="330">
        <v>0</v>
      </c>
      <c r="E104" s="72">
        <f t="shared" si="10"/>
        <v>1136.45</v>
      </c>
      <c r="F104" s="72">
        <f t="shared" si="11"/>
        <v>90.916000000000011</v>
      </c>
      <c r="G104" s="76"/>
      <c r="H104" s="74" t="e">
        <f t="shared" si="9"/>
        <v>#REF!</v>
      </c>
      <c r="I104" s="232">
        <v>0</v>
      </c>
      <c r="J104" s="391">
        <f t="shared" si="13"/>
        <v>6.0499999999999998E-2</v>
      </c>
      <c r="K104" s="316"/>
      <c r="L104" s="316"/>
      <c r="M104" s="72">
        <f t="shared" si="12"/>
        <v>68.755224999999996</v>
      </c>
    </row>
    <row r="105" spans="1:13" ht="16.5" customHeight="1" x14ac:dyDescent="0.25">
      <c r="A105" s="328"/>
      <c r="B105" s="331" t="s">
        <v>100</v>
      </c>
      <c r="C105" s="335">
        <v>784.91</v>
      </c>
      <c r="D105" s="330">
        <v>0</v>
      </c>
      <c r="E105" s="72">
        <f t="shared" si="10"/>
        <v>784.91</v>
      </c>
      <c r="F105" s="72">
        <f t="shared" si="11"/>
        <v>62.7928</v>
      </c>
      <c r="G105" s="76"/>
      <c r="H105" s="74" t="e">
        <f t="shared" si="9"/>
        <v>#REF!</v>
      </c>
      <c r="I105" s="232">
        <v>0</v>
      </c>
      <c r="J105" s="391">
        <f t="shared" si="13"/>
        <v>6.0499999999999998E-2</v>
      </c>
      <c r="K105" s="316"/>
      <c r="L105" s="316"/>
      <c r="M105" s="72">
        <f t="shared" si="12"/>
        <v>47.487054999999998</v>
      </c>
    </row>
    <row r="106" spans="1:13" ht="16.5" customHeight="1" x14ac:dyDescent="0.25">
      <c r="A106" s="328"/>
      <c r="B106" s="331" t="s">
        <v>101</v>
      </c>
      <c r="C106" s="335">
        <v>1.53</v>
      </c>
      <c r="D106" s="330">
        <v>0</v>
      </c>
      <c r="E106" s="72">
        <f t="shared" si="10"/>
        <v>1.53</v>
      </c>
      <c r="F106" s="72">
        <f t="shared" si="11"/>
        <v>0.12240000000000001</v>
      </c>
      <c r="G106" s="76"/>
      <c r="H106" s="74" t="e">
        <f t="shared" si="9"/>
        <v>#REF!</v>
      </c>
      <c r="I106" s="232">
        <v>0</v>
      </c>
      <c r="J106" s="391">
        <f t="shared" si="13"/>
        <v>6.0499999999999998E-2</v>
      </c>
      <c r="K106" s="316"/>
      <c r="L106" s="316"/>
      <c r="M106" s="72">
        <f t="shared" si="12"/>
        <v>9.2564999999999995E-2</v>
      </c>
    </row>
    <row r="107" spans="1:13" s="65" customFormat="1" ht="17.25" customHeight="1" x14ac:dyDescent="0.25">
      <c r="A107" s="190"/>
      <c r="B107" s="181" t="s">
        <v>162</v>
      </c>
      <c r="C107" s="181">
        <f>SUM(C5:C106)</f>
        <v>78940.769999999946</v>
      </c>
      <c r="D107" s="181">
        <f>SUM(D5:D106)</f>
        <v>2463.79</v>
      </c>
      <c r="E107" s="317">
        <f>SUM(E5:E106)</f>
        <v>76476.979999999967</v>
      </c>
      <c r="F107" s="181">
        <f>SUM(F5:F106)</f>
        <v>6315.2616000000016</v>
      </c>
      <c r="G107" s="182"/>
      <c r="H107" s="182"/>
      <c r="I107" s="182"/>
      <c r="J107" s="409"/>
      <c r="K107" s="182"/>
      <c r="L107" s="182"/>
      <c r="M107" s="181">
        <f>SUM(M5:M106)</f>
        <v>4626.8572899999981</v>
      </c>
    </row>
    <row r="109" spans="1:13" x14ac:dyDescent="0.25">
      <c r="B109" s="166"/>
      <c r="C109" s="220"/>
      <c r="D109" s="166"/>
      <c r="E109" s="166"/>
      <c r="F109" s="166"/>
      <c r="G109" s="67"/>
      <c r="H109" s="67"/>
      <c r="I109" s="67"/>
      <c r="J109" s="67"/>
      <c r="K109" s="67"/>
      <c r="L109" s="67"/>
      <c r="M109" s="67"/>
    </row>
    <row r="110" spans="1:13" x14ac:dyDescent="0.25">
      <c r="B110" s="166"/>
      <c r="C110" s="97"/>
      <c r="D110" s="97"/>
      <c r="E110" s="166"/>
      <c r="F110" s="166"/>
    </row>
    <row r="111" spans="1:13" x14ac:dyDescent="0.25">
      <c r="B111" s="166"/>
      <c r="C111" s="97"/>
      <c r="D111" s="97"/>
      <c r="E111" s="166"/>
      <c r="F111" s="166"/>
    </row>
    <row r="112" spans="1:13" x14ac:dyDescent="0.25">
      <c r="B112" s="166"/>
      <c r="C112" s="97"/>
      <c r="D112" s="97"/>
      <c r="E112" s="166"/>
      <c r="F112" s="166"/>
    </row>
    <row r="113" spans="1:19" s="69" customFormat="1" x14ac:dyDescent="0.25">
      <c r="A113" s="60"/>
      <c r="B113" s="60"/>
      <c r="C113" s="97"/>
      <c r="D113" s="97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</row>
    <row r="114" spans="1:19" s="69" customFormat="1" x14ac:dyDescent="0.25">
      <c r="A114" s="60"/>
      <c r="B114" s="60"/>
      <c r="C114" s="97"/>
      <c r="D114" s="97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</row>
  </sheetData>
  <autoFilter ref="A4:M106" xr:uid="{00000000-0009-0000-0000-000000000000}"/>
  <pageMargins left="0.51181102362204722" right="0.51181102362204722" top="0.47244094488188981" bottom="0.47244094488188981" header="0.31496062992125984" footer="0.31496062992125984"/>
  <pageSetup paperSize="9" scale="76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0979F-AB0D-454D-9B7E-68D0E3533CD7}">
  <sheetPr>
    <tabColor rgb="FF00B050"/>
    <pageSetUpPr fitToPage="1"/>
  </sheetPr>
  <dimension ref="A1:Q107"/>
  <sheetViews>
    <sheetView showGridLines="0" topLeftCell="A87" workbookViewId="0">
      <selection activeCell="J87" sqref="J1:M1048576"/>
    </sheetView>
  </sheetViews>
  <sheetFormatPr defaultRowHeight="15" x14ac:dyDescent="0.25"/>
  <cols>
    <col min="1" max="1" width="9.85546875" style="60" customWidth="1"/>
    <col min="2" max="2" width="43.28515625" style="60" customWidth="1"/>
    <col min="3" max="3" width="14.140625" style="59" customWidth="1"/>
    <col min="4" max="4" width="14.42578125" style="69" customWidth="1"/>
    <col min="5" max="5" width="16.28515625" style="69" customWidth="1"/>
    <col min="6" max="6" width="13.5703125" style="69" customWidth="1"/>
    <col min="7" max="7" width="12.28515625" style="60" hidden="1" customWidth="1"/>
    <col min="8" max="8" width="12.85546875" style="60" hidden="1" customWidth="1"/>
    <col min="9" max="9" width="14.28515625" style="60" hidden="1" customWidth="1"/>
    <col min="10" max="10" width="12" style="60" hidden="1" customWidth="1"/>
    <col min="11" max="13" width="16.140625" style="60" hidden="1" customWidth="1"/>
    <col min="14" max="26" width="9.140625" style="60" customWidth="1"/>
    <col min="27" max="16384" width="9.140625" style="60"/>
  </cols>
  <sheetData>
    <row r="1" spans="1:13" ht="17.25" customHeight="1" x14ac:dyDescent="0.25">
      <c r="A1" s="221"/>
      <c r="B1" s="303" t="s">
        <v>141</v>
      </c>
      <c r="C1" s="304"/>
      <c r="D1" s="222"/>
      <c r="E1" s="83"/>
      <c r="F1" s="83"/>
      <c r="G1" s="223"/>
      <c r="H1" s="223"/>
      <c r="I1" s="223"/>
      <c r="J1" s="223"/>
      <c r="K1" s="223"/>
      <c r="L1" s="223"/>
      <c r="M1" s="223"/>
    </row>
    <row r="2" spans="1:13" ht="15.75" x14ac:dyDescent="0.25">
      <c r="A2" s="59"/>
      <c r="B2" s="305" t="s">
        <v>233</v>
      </c>
      <c r="C2" s="306"/>
      <c r="D2" s="58"/>
      <c r="E2" s="58"/>
      <c r="F2" s="58"/>
      <c r="G2" s="59"/>
      <c r="H2" s="59"/>
      <c r="I2" s="59"/>
      <c r="J2" s="59"/>
      <c r="K2" s="59"/>
      <c r="L2" s="59"/>
      <c r="M2" s="59"/>
    </row>
    <row r="3" spans="1:13" ht="15.75" x14ac:dyDescent="0.25">
      <c r="A3" s="224"/>
      <c r="B3" s="307" t="s">
        <v>235</v>
      </c>
      <c r="C3" s="255"/>
      <c r="D3" s="88"/>
      <c r="E3" s="88"/>
      <c r="F3" s="88"/>
      <c r="G3" s="224"/>
      <c r="H3" s="224"/>
      <c r="I3" s="224"/>
      <c r="J3" s="224"/>
      <c r="K3" s="224"/>
      <c r="L3" s="224"/>
      <c r="M3" s="224"/>
    </row>
    <row r="4" spans="1:13" s="217" customFormat="1" ht="43.5" customHeight="1" x14ac:dyDescent="0.25">
      <c r="A4" s="62" t="s">
        <v>143</v>
      </c>
      <c r="B4" s="63" t="s">
        <v>144</v>
      </c>
      <c r="C4" s="58" t="s">
        <v>140</v>
      </c>
      <c r="D4" s="218" t="s">
        <v>145</v>
      </c>
      <c r="E4" s="58" t="s">
        <v>146</v>
      </c>
      <c r="F4" s="58" t="s">
        <v>212</v>
      </c>
      <c r="G4" s="58" t="s">
        <v>147</v>
      </c>
      <c r="H4" s="310" t="s">
        <v>213</v>
      </c>
      <c r="I4" s="310" t="s">
        <v>214</v>
      </c>
      <c r="J4" s="361" t="s">
        <v>252</v>
      </c>
      <c r="K4" s="361" t="s">
        <v>256</v>
      </c>
      <c r="L4" s="407" t="s">
        <v>214</v>
      </c>
      <c r="M4" s="70" t="s">
        <v>256</v>
      </c>
    </row>
    <row r="5" spans="1:13" ht="16.5" customHeight="1" x14ac:dyDescent="0.25">
      <c r="A5" s="329">
        <v>0.65</v>
      </c>
      <c r="B5" s="73" t="s">
        <v>33</v>
      </c>
      <c r="C5" s="72">
        <v>653.59</v>
      </c>
      <c r="D5" s="330">
        <v>0</v>
      </c>
      <c r="E5" s="72">
        <f>C5-D5</f>
        <v>653.59</v>
      </c>
      <c r="F5" s="72">
        <f>C5*8%</f>
        <v>52.287200000000006</v>
      </c>
      <c r="G5" s="76"/>
      <c r="H5" s="76">
        <v>44550</v>
      </c>
      <c r="I5" s="244">
        <v>0</v>
      </c>
      <c r="J5" s="391">
        <v>5.28E-2</v>
      </c>
      <c r="K5" s="76">
        <v>44530</v>
      </c>
      <c r="L5" s="76"/>
      <c r="M5" s="72">
        <f>E5*J5</f>
        <v>34.509551999999999</v>
      </c>
    </row>
    <row r="6" spans="1:13" ht="16.5" customHeight="1" x14ac:dyDescent="0.25">
      <c r="A6" s="329">
        <v>0.65</v>
      </c>
      <c r="B6" s="73" t="s">
        <v>34</v>
      </c>
      <c r="C6" s="75">
        <v>630.59</v>
      </c>
      <c r="D6" s="330">
        <v>0</v>
      </c>
      <c r="E6" s="72">
        <f t="shared" ref="E6:E69" si="0">C6-D6</f>
        <v>630.59</v>
      </c>
      <c r="F6" s="72">
        <f t="shared" ref="F6:F69" si="1">C6*8%</f>
        <v>50.447200000000002</v>
      </c>
      <c r="G6" s="76"/>
      <c r="H6" s="74">
        <f>H5</f>
        <v>44550</v>
      </c>
      <c r="I6" s="244">
        <v>0</v>
      </c>
      <c r="J6" s="391">
        <v>5.28E-2</v>
      </c>
      <c r="K6" s="74">
        <f>K5</f>
        <v>44530</v>
      </c>
      <c r="L6" s="74"/>
      <c r="M6" s="72">
        <f t="shared" ref="M6:M69" si="2">E6*J6</f>
        <v>33.295152000000002</v>
      </c>
    </row>
    <row r="7" spans="1:13" ht="16.5" customHeight="1" x14ac:dyDescent="0.25">
      <c r="A7" s="329">
        <v>0.65</v>
      </c>
      <c r="B7" s="73" t="s">
        <v>16</v>
      </c>
      <c r="C7" s="75">
        <v>2.0699999999999998</v>
      </c>
      <c r="D7" s="330">
        <v>0</v>
      </c>
      <c r="E7" s="72">
        <f t="shared" si="0"/>
        <v>2.0699999999999998</v>
      </c>
      <c r="F7" s="72">
        <f t="shared" si="1"/>
        <v>0.1656</v>
      </c>
      <c r="G7" s="76"/>
      <c r="H7" s="74">
        <f>H6</f>
        <v>44550</v>
      </c>
      <c r="I7" s="244">
        <v>0</v>
      </c>
      <c r="J7" s="391">
        <v>5.28E-2</v>
      </c>
      <c r="K7" s="74">
        <f>K6</f>
        <v>44530</v>
      </c>
      <c r="L7" s="74"/>
      <c r="M7" s="72">
        <f t="shared" si="2"/>
        <v>0.10929599999999999</v>
      </c>
    </row>
    <row r="8" spans="1:13" ht="16.5" customHeight="1" x14ac:dyDescent="0.25">
      <c r="A8" s="329">
        <v>0.65</v>
      </c>
      <c r="B8" s="73" t="s">
        <v>35</v>
      </c>
      <c r="C8" s="75">
        <v>1.37</v>
      </c>
      <c r="D8" s="330">
        <v>0</v>
      </c>
      <c r="E8" s="72">
        <f t="shared" si="0"/>
        <v>1.37</v>
      </c>
      <c r="F8" s="72">
        <f t="shared" si="1"/>
        <v>0.10960000000000002</v>
      </c>
      <c r="G8" s="76"/>
      <c r="H8" s="74">
        <f t="shared" ref="H8:H31" si="3">H7</f>
        <v>44550</v>
      </c>
      <c r="I8" s="244">
        <v>0</v>
      </c>
      <c r="J8" s="391">
        <v>5.28E-2</v>
      </c>
      <c r="K8" s="76">
        <f>K7</f>
        <v>44530</v>
      </c>
      <c r="L8" s="76"/>
      <c r="M8" s="72">
        <f t="shared" si="2"/>
        <v>7.2336000000000011E-2</v>
      </c>
    </row>
    <row r="9" spans="1:13" ht="16.5" customHeight="1" x14ac:dyDescent="0.25">
      <c r="A9" s="329">
        <v>0.65</v>
      </c>
      <c r="B9" s="73" t="s">
        <v>36</v>
      </c>
      <c r="C9" s="75">
        <v>692.93</v>
      </c>
      <c r="D9" s="330">
        <v>692.93</v>
      </c>
      <c r="E9" s="72">
        <v>0</v>
      </c>
      <c r="F9" s="72">
        <f t="shared" si="1"/>
        <v>55.434399999999997</v>
      </c>
      <c r="G9" s="76">
        <v>44606</v>
      </c>
      <c r="H9" s="74">
        <f t="shared" si="3"/>
        <v>44550</v>
      </c>
      <c r="I9" s="244">
        <f>G9-H9</f>
        <v>56</v>
      </c>
      <c r="J9" s="391">
        <v>5.28E-2</v>
      </c>
      <c r="K9" s="76">
        <f t="shared" ref="K9:K16" si="4">K8</f>
        <v>44530</v>
      </c>
      <c r="L9" s="76"/>
      <c r="M9" s="72">
        <f t="shared" si="2"/>
        <v>0</v>
      </c>
    </row>
    <row r="10" spans="1:13" ht="16.5" customHeight="1" x14ac:dyDescent="0.25">
      <c r="A10" s="329">
        <v>0.65</v>
      </c>
      <c r="B10" s="73" t="s">
        <v>37</v>
      </c>
      <c r="C10" s="75">
        <v>699.76</v>
      </c>
      <c r="D10" s="330">
        <v>0</v>
      </c>
      <c r="E10" s="72">
        <v>699.76</v>
      </c>
      <c r="F10" s="72">
        <f t="shared" si="1"/>
        <v>55.980800000000002</v>
      </c>
      <c r="G10" s="76"/>
      <c r="H10" s="74">
        <f t="shared" si="3"/>
        <v>44550</v>
      </c>
      <c r="I10" s="244">
        <v>0</v>
      </c>
      <c r="J10" s="391">
        <v>5.28E-2</v>
      </c>
      <c r="K10" s="76">
        <f t="shared" si="4"/>
        <v>44530</v>
      </c>
      <c r="L10" s="74"/>
      <c r="M10" s="72">
        <f t="shared" si="2"/>
        <v>36.947327999999999</v>
      </c>
    </row>
    <row r="11" spans="1:13" ht="16.5" customHeight="1" x14ac:dyDescent="0.25">
      <c r="A11" s="329">
        <v>0.65</v>
      </c>
      <c r="B11" s="73" t="s">
        <v>105</v>
      </c>
      <c r="C11" s="72">
        <v>328.84</v>
      </c>
      <c r="D11" s="330">
        <v>0</v>
      </c>
      <c r="E11" s="72">
        <f t="shared" si="0"/>
        <v>328.84</v>
      </c>
      <c r="F11" s="72">
        <f t="shared" si="1"/>
        <v>26.307199999999998</v>
      </c>
      <c r="G11" s="76"/>
      <c r="H11" s="74">
        <f t="shared" si="3"/>
        <v>44550</v>
      </c>
      <c r="I11" s="244">
        <v>0</v>
      </c>
      <c r="J11" s="391">
        <v>5.28E-2</v>
      </c>
      <c r="K11" s="76">
        <f t="shared" si="4"/>
        <v>44530</v>
      </c>
      <c r="L11" s="74"/>
      <c r="M11" s="72">
        <f t="shared" si="2"/>
        <v>17.362751999999997</v>
      </c>
    </row>
    <row r="12" spans="1:13" ht="16.5" customHeight="1" x14ac:dyDescent="0.25">
      <c r="A12" s="329">
        <v>0.65</v>
      </c>
      <c r="B12" s="73" t="s">
        <v>19</v>
      </c>
      <c r="C12" s="72">
        <v>1200.1600000000001</v>
      </c>
      <c r="D12" s="330">
        <v>0</v>
      </c>
      <c r="E12" s="72">
        <f t="shared" si="0"/>
        <v>1200.1600000000001</v>
      </c>
      <c r="F12" s="72">
        <f t="shared" si="1"/>
        <v>96.012800000000013</v>
      </c>
      <c r="G12" s="76"/>
      <c r="H12" s="74">
        <f t="shared" si="3"/>
        <v>44550</v>
      </c>
      <c r="I12" s="244">
        <v>0</v>
      </c>
      <c r="J12" s="391">
        <v>5.28E-2</v>
      </c>
      <c r="K12" s="76">
        <f t="shared" si="4"/>
        <v>44530</v>
      </c>
      <c r="L12" s="76"/>
      <c r="M12" s="72">
        <f t="shared" si="2"/>
        <v>63.368448000000001</v>
      </c>
    </row>
    <row r="13" spans="1:13" ht="16.5" customHeight="1" x14ac:dyDescent="0.25">
      <c r="A13" s="329">
        <v>0.65</v>
      </c>
      <c r="B13" s="73" t="s">
        <v>117</v>
      </c>
      <c r="C13" s="75">
        <v>2.4700000000000002</v>
      </c>
      <c r="D13" s="330">
        <v>0</v>
      </c>
      <c r="E13" s="72">
        <f t="shared" si="0"/>
        <v>2.4700000000000002</v>
      </c>
      <c r="F13" s="72">
        <f t="shared" si="1"/>
        <v>0.19760000000000003</v>
      </c>
      <c r="G13" s="76"/>
      <c r="H13" s="74">
        <f t="shared" si="3"/>
        <v>44550</v>
      </c>
      <c r="I13" s="244">
        <v>0</v>
      </c>
      <c r="J13" s="391">
        <v>5.28E-2</v>
      </c>
      <c r="K13" s="76">
        <f t="shared" si="4"/>
        <v>44530</v>
      </c>
      <c r="L13" s="76"/>
      <c r="M13" s="72">
        <f t="shared" si="2"/>
        <v>0.130416</v>
      </c>
    </row>
    <row r="14" spans="1:13" ht="16.5" customHeight="1" x14ac:dyDescent="0.25">
      <c r="A14" s="329">
        <v>0.65</v>
      </c>
      <c r="B14" s="73" t="s">
        <v>38</v>
      </c>
      <c r="C14" s="75">
        <v>1285.47</v>
      </c>
      <c r="D14" s="330">
        <v>0</v>
      </c>
      <c r="E14" s="72">
        <f t="shared" si="0"/>
        <v>1285.47</v>
      </c>
      <c r="F14" s="72">
        <f t="shared" si="1"/>
        <v>102.83760000000001</v>
      </c>
      <c r="G14" s="76"/>
      <c r="H14" s="74">
        <f t="shared" si="3"/>
        <v>44550</v>
      </c>
      <c r="I14" s="244">
        <v>0</v>
      </c>
      <c r="J14" s="391">
        <v>5.28E-2</v>
      </c>
      <c r="K14" s="76">
        <f t="shared" si="4"/>
        <v>44530</v>
      </c>
      <c r="L14" s="76"/>
      <c r="M14" s="72">
        <f t="shared" si="2"/>
        <v>67.872816</v>
      </c>
    </row>
    <row r="15" spans="1:13" ht="16.5" customHeight="1" x14ac:dyDescent="0.25">
      <c r="A15" s="329">
        <v>0.65</v>
      </c>
      <c r="B15" s="73" t="s">
        <v>20</v>
      </c>
      <c r="C15" s="72">
        <v>899.01</v>
      </c>
      <c r="D15" s="330">
        <v>0</v>
      </c>
      <c r="E15" s="72">
        <f t="shared" si="0"/>
        <v>899.01</v>
      </c>
      <c r="F15" s="72">
        <f t="shared" si="1"/>
        <v>71.9208</v>
      </c>
      <c r="G15" s="76"/>
      <c r="H15" s="74">
        <f t="shared" si="3"/>
        <v>44550</v>
      </c>
      <c r="I15" s="244">
        <v>0</v>
      </c>
      <c r="J15" s="391">
        <v>5.28E-2</v>
      </c>
      <c r="K15" s="76">
        <f t="shared" si="4"/>
        <v>44530</v>
      </c>
      <c r="L15" s="76"/>
      <c r="M15" s="72">
        <f t="shared" si="2"/>
        <v>47.467728000000001</v>
      </c>
    </row>
    <row r="16" spans="1:13" ht="16.5" customHeight="1" x14ac:dyDescent="0.25">
      <c r="A16" s="329">
        <v>0.65</v>
      </c>
      <c r="B16" s="73" t="s">
        <v>39</v>
      </c>
      <c r="C16" s="72">
        <v>4.18</v>
      </c>
      <c r="D16" s="330">
        <v>0</v>
      </c>
      <c r="E16" s="72">
        <f t="shared" si="0"/>
        <v>4.18</v>
      </c>
      <c r="F16" s="72">
        <f t="shared" si="1"/>
        <v>0.33439999999999998</v>
      </c>
      <c r="G16" s="76"/>
      <c r="H16" s="74">
        <f t="shared" si="3"/>
        <v>44550</v>
      </c>
      <c r="I16" s="244">
        <v>0</v>
      </c>
      <c r="J16" s="391">
        <v>5.28E-2</v>
      </c>
      <c r="K16" s="76">
        <f t="shared" si="4"/>
        <v>44530</v>
      </c>
      <c r="L16" s="76"/>
      <c r="M16" s="72">
        <f t="shared" si="2"/>
        <v>0.22070399999999998</v>
      </c>
    </row>
    <row r="17" spans="1:13" ht="16.5" customHeight="1" x14ac:dyDescent="0.25">
      <c r="A17" s="329">
        <v>0.8</v>
      </c>
      <c r="B17" s="73" t="s">
        <v>40</v>
      </c>
      <c r="C17" s="75">
        <v>4.49</v>
      </c>
      <c r="D17" s="330">
        <v>0</v>
      </c>
      <c r="E17" s="72">
        <f t="shared" si="0"/>
        <v>4.49</v>
      </c>
      <c r="F17" s="72">
        <f t="shared" si="1"/>
        <v>0.35920000000000002</v>
      </c>
      <c r="G17" s="76"/>
      <c r="H17" s="74">
        <f>H16</f>
        <v>44550</v>
      </c>
      <c r="I17" s="232">
        <v>0</v>
      </c>
      <c r="J17" s="391">
        <v>5.28E-2</v>
      </c>
      <c r="K17" s="74" t="e">
        <f>#REF!</f>
        <v>#REF!</v>
      </c>
      <c r="L17" s="74"/>
      <c r="M17" s="72">
        <f t="shared" si="2"/>
        <v>0.237072</v>
      </c>
    </row>
    <row r="18" spans="1:13" ht="16.5" customHeight="1" x14ac:dyDescent="0.25">
      <c r="A18" s="329">
        <v>0.8</v>
      </c>
      <c r="B18" s="73" t="s">
        <v>41</v>
      </c>
      <c r="C18" s="75">
        <v>295.75</v>
      </c>
      <c r="D18" s="330">
        <v>0</v>
      </c>
      <c r="E18" s="72">
        <f t="shared" si="0"/>
        <v>295.75</v>
      </c>
      <c r="F18" s="72">
        <f t="shared" si="1"/>
        <v>23.66</v>
      </c>
      <c r="G18" s="76"/>
      <c r="H18" s="74">
        <f t="shared" si="3"/>
        <v>44550</v>
      </c>
      <c r="I18" s="232">
        <v>0</v>
      </c>
      <c r="J18" s="391">
        <v>5.28E-2</v>
      </c>
      <c r="K18" s="74" t="e">
        <f>K17</f>
        <v>#REF!</v>
      </c>
      <c r="L18" s="74"/>
      <c r="M18" s="72">
        <f t="shared" si="2"/>
        <v>15.615600000000001</v>
      </c>
    </row>
    <row r="19" spans="1:13" ht="16.5" customHeight="1" x14ac:dyDescent="0.25">
      <c r="A19" s="329">
        <v>0.8</v>
      </c>
      <c r="B19" s="73" t="s">
        <v>42</v>
      </c>
      <c r="C19" s="75">
        <v>699.75</v>
      </c>
      <c r="D19" s="330">
        <v>0</v>
      </c>
      <c r="E19" s="72">
        <f t="shared" si="0"/>
        <v>699.75</v>
      </c>
      <c r="F19" s="72">
        <f t="shared" si="1"/>
        <v>55.980000000000004</v>
      </c>
      <c r="G19" s="76"/>
      <c r="H19" s="74">
        <f t="shared" si="3"/>
        <v>44550</v>
      </c>
      <c r="I19" s="232">
        <v>0</v>
      </c>
      <c r="J19" s="391">
        <v>5.28E-2</v>
      </c>
      <c r="K19" s="76" t="e">
        <f>K18</f>
        <v>#REF!</v>
      </c>
      <c r="L19" s="76"/>
      <c r="M19" s="72">
        <f t="shared" si="2"/>
        <v>36.946800000000003</v>
      </c>
    </row>
    <row r="20" spans="1:13" ht="16.5" customHeight="1" x14ac:dyDescent="0.25">
      <c r="A20" s="329">
        <v>0.8</v>
      </c>
      <c r="B20" s="73" t="s">
        <v>43</v>
      </c>
      <c r="C20" s="75">
        <v>4.71</v>
      </c>
      <c r="D20" s="330">
        <v>0</v>
      </c>
      <c r="E20" s="72">
        <f t="shared" si="0"/>
        <v>4.71</v>
      </c>
      <c r="F20" s="72">
        <f t="shared" si="1"/>
        <v>0.37680000000000002</v>
      </c>
      <c r="G20" s="76"/>
      <c r="H20" s="74">
        <f t="shared" si="3"/>
        <v>44550</v>
      </c>
      <c r="I20" s="232">
        <v>0</v>
      </c>
      <c r="J20" s="391">
        <v>5.28E-2</v>
      </c>
      <c r="K20" s="76" t="e">
        <f>K19</f>
        <v>#REF!</v>
      </c>
      <c r="L20" s="76"/>
      <c r="M20" s="72">
        <f t="shared" si="2"/>
        <v>0.24868799999999999</v>
      </c>
    </row>
    <row r="21" spans="1:13" ht="16.5" customHeight="1" x14ac:dyDescent="0.25">
      <c r="A21" s="329">
        <v>0.8</v>
      </c>
      <c r="B21" s="73" t="s">
        <v>44</v>
      </c>
      <c r="C21" s="75">
        <v>4.01</v>
      </c>
      <c r="D21" s="330">
        <v>0</v>
      </c>
      <c r="E21" s="72">
        <f t="shared" si="0"/>
        <v>4.01</v>
      </c>
      <c r="F21" s="72">
        <f t="shared" si="1"/>
        <v>0.32079999999999997</v>
      </c>
      <c r="G21" s="76"/>
      <c r="H21" s="74">
        <f t="shared" si="3"/>
        <v>44550</v>
      </c>
      <c r="I21" s="232">
        <v>0</v>
      </c>
      <c r="J21" s="391">
        <v>5.28E-2</v>
      </c>
      <c r="K21" s="76" t="e">
        <f t="shared" ref="K21:K31" si="5">K20</f>
        <v>#REF!</v>
      </c>
      <c r="L21" s="74"/>
      <c r="M21" s="72">
        <f t="shared" si="2"/>
        <v>0.211728</v>
      </c>
    </row>
    <row r="22" spans="1:13" ht="16.5" customHeight="1" x14ac:dyDescent="0.25">
      <c r="A22" s="329">
        <v>0.8</v>
      </c>
      <c r="B22" s="77" t="s">
        <v>1</v>
      </c>
      <c r="C22" s="75">
        <v>1480.31</v>
      </c>
      <c r="D22" s="330">
        <v>0</v>
      </c>
      <c r="E22" s="72">
        <f t="shared" si="0"/>
        <v>1480.31</v>
      </c>
      <c r="F22" s="72">
        <f t="shared" si="1"/>
        <v>118.4248</v>
      </c>
      <c r="G22" s="76"/>
      <c r="H22" s="74">
        <f t="shared" si="3"/>
        <v>44550</v>
      </c>
      <c r="I22" s="232">
        <v>0</v>
      </c>
      <c r="J22" s="391">
        <v>5.28E-2</v>
      </c>
      <c r="K22" s="76" t="e">
        <f t="shared" si="5"/>
        <v>#REF!</v>
      </c>
      <c r="L22" s="74"/>
      <c r="M22" s="72">
        <f t="shared" si="2"/>
        <v>78.160367999999991</v>
      </c>
    </row>
    <row r="23" spans="1:13" ht="16.5" customHeight="1" x14ac:dyDescent="0.25">
      <c r="A23" s="329">
        <v>0.8</v>
      </c>
      <c r="B23" s="73" t="s">
        <v>118</v>
      </c>
      <c r="C23" s="75">
        <v>2.0699999999999998</v>
      </c>
      <c r="D23" s="330">
        <v>0</v>
      </c>
      <c r="E23" s="72">
        <f t="shared" si="0"/>
        <v>2.0699999999999998</v>
      </c>
      <c r="F23" s="72">
        <f t="shared" si="1"/>
        <v>0.1656</v>
      </c>
      <c r="G23" s="76"/>
      <c r="H23" s="74">
        <f t="shared" si="3"/>
        <v>44550</v>
      </c>
      <c r="I23" s="232">
        <v>0</v>
      </c>
      <c r="J23" s="391">
        <v>5.28E-2</v>
      </c>
      <c r="K23" s="76" t="e">
        <f t="shared" si="5"/>
        <v>#REF!</v>
      </c>
      <c r="L23" s="74"/>
      <c r="M23" s="72">
        <f t="shared" si="2"/>
        <v>0.10929599999999999</v>
      </c>
    </row>
    <row r="24" spans="1:13" ht="16.5" customHeight="1" x14ac:dyDescent="0.25">
      <c r="A24" s="329">
        <v>0.8</v>
      </c>
      <c r="B24" s="73" t="s">
        <v>46</v>
      </c>
      <c r="C24" s="75">
        <v>4.18</v>
      </c>
      <c r="D24" s="330">
        <v>0</v>
      </c>
      <c r="E24" s="72">
        <f t="shared" si="0"/>
        <v>4.18</v>
      </c>
      <c r="F24" s="72">
        <f t="shared" si="1"/>
        <v>0.33439999999999998</v>
      </c>
      <c r="G24" s="76"/>
      <c r="H24" s="74">
        <f t="shared" si="3"/>
        <v>44550</v>
      </c>
      <c r="I24" s="232">
        <v>0</v>
      </c>
      <c r="J24" s="391">
        <v>5.28E-2</v>
      </c>
      <c r="K24" s="76" t="e">
        <f t="shared" si="5"/>
        <v>#REF!</v>
      </c>
      <c r="L24" s="74"/>
      <c r="M24" s="72">
        <f t="shared" si="2"/>
        <v>0.22070399999999998</v>
      </c>
    </row>
    <row r="25" spans="1:13" ht="16.5" customHeight="1" x14ac:dyDescent="0.25">
      <c r="A25" s="329">
        <v>0.8</v>
      </c>
      <c r="B25" s="73" t="s">
        <v>47</v>
      </c>
      <c r="C25" s="75">
        <v>3.06</v>
      </c>
      <c r="D25" s="330">
        <v>0</v>
      </c>
      <c r="E25" s="72">
        <f t="shared" si="0"/>
        <v>3.06</v>
      </c>
      <c r="F25" s="72">
        <f t="shared" si="1"/>
        <v>0.24480000000000002</v>
      </c>
      <c r="G25" s="76"/>
      <c r="H25" s="74">
        <f t="shared" si="3"/>
        <v>44550</v>
      </c>
      <c r="I25" s="232">
        <v>0</v>
      </c>
      <c r="J25" s="391">
        <v>5.28E-2</v>
      </c>
      <c r="K25" s="76" t="e">
        <f t="shared" si="5"/>
        <v>#REF!</v>
      </c>
      <c r="L25" s="74"/>
      <c r="M25" s="72">
        <f t="shared" si="2"/>
        <v>0.16156799999999999</v>
      </c>
    </row>
    <row r="26" spans="1:13" ht="16.5" customHeight="1" x14ac:dyDescent="0.25">
      <c r="A26" s="329">
        <v>0.8</v>
      </c>
      <c r="B26" s="77" t="s">
        <v>2</v>
      </c>
      <c r="C26" s="75">
        <v>460.71</v>
      </c>
      <c r="D26" s="330">
        <v>0</v>
      </c>
      <c r="E26" s="72">
        <f t="shared" si="0"/>
        <v>460.71</v>
      </c>
      <c r="F26" s="72">
        <f t="shared" si="1"/>
        <v>36.8568</v>
      </c>
      <c r="G26" s="76"/>
      <c r="H26" s="74">
        <f t="shared" si="3"/>
        <v>44550</v>
      </c>
      <c r="I26" s="232">
        <v>0</v>
      </c>
      <c r="J26" s="391">
        <v>5.28E-2</v>
      </c>
      <c r="K26" s="76" t="e">
        <f t="shared" si="5"/>
        <v>#REF!</v>
      </c>
      <c r="L26" s="74"/>
      <c r="M26" s="72">
        <f t="shared" si="2"/>
        <v>24.325488</v>
      </c>
    </row>
    <row r="27" spans="1:13" ht="16.5" customHeight="1" x14ac:dyDescent="0.25">
      <c r="A27" s="329">
        <v>0.8</v>
      </c>
      <c r="B27" s="73" t="s">
        <v>119</v>
      </c>
      <c r="C27" s="75">
        <v>1.98</v>
      </c>
      <c r="D27" s="330">
        <v>0</v>
      </c>
      <c r="E27" s="72">
        <f t="shared" si="0"/>
        <v>1.98</v>
      </c>
      <c r="F27" s="72">
        <f t="shared" si="1"/>
        <v>0.15840000000000001</v>
      </c>
      <c r="G27" s="76"/>
      <c r="H27" s="74">
        <f t="shared" si="3"/>
        <v>44550</v>
      </c>
      <c r="I27" s="232">
        <v>0</v>
      </c>
      <c r="J27" s="391">
        <v>5.28E-2</v>
      </c>
      <c r="K27" s="76" t="e">
        <f t="shared" si="5"/>
        <v>#REF!</v>
      </c>
      <c r="L27" s="74"/>
      <c r="M27" s="72">
        <f t="shared" si="2"/>
        <v>0.104544</v>
      </c>
    </row>
    <row r="28" spans="1:13" ht="16.5" customHeight="1" x14ac:dyDescent="0.25">
      <c r="A28" s="329">
        <v>0.8</v>
      </c>
      <c r="B28" s="73" t="s">
        <v>49</v>
      </c>
      <c r="C28" s="75">
        <v>101.56</v>
      </c>
      <c r="D28" s="330">
        <v>0</v>
      </c>
      <c r="E28" s="72">
        <f t="shared" si="0"/>
        <v>101.56</v>
      </c>
      <c r="F28" s="72">
        <f t="shared" si="1"/>
        <v>8.1248000000000005</v>
      </c>
      <c r="G28" s="76"/>
      <c r="H28" s="74">
        <f t="shared" si="3"/>
        <v>44550</v>
      </c>
      <c r="I28" s="232">
        <v>0</v>
      </c>
      <c r="J28" s="391">
        <v>5.28E-2</v>
      </c>
      <c r="K28" s="76" t="e">
        <f t="shared" si="5"/>
        <v>#REF!</v>
      </c>
      <c r="L28" s="74"/>
      <c r="M28" s="72">
        <f t="shared" si="2"/>
        <v>5.362368</v>
      </c>
    </row>
    <row r="29" spans="1:13" ht="16.5" customHeight="1" x14ac:dyDescent="0.25">
      <c r="A29" s="329">
        <v>0.8</v>
      </c>
      <c r="B29" s="73" t="s">
        <v>3</v>
      </c>
      <c r="C29" s="75">
        <v>1399.07</v>
      </c>
      <c r="D29" s="330">
        <v>0</v>
      </c>
      <c r="E29" s="72">
        <f t="shared" si="0"/>
        <v>1399.07</v>
      </c>
      <c r="F29" s="72">
        <f t="shared" si="1"/>
        <v>111.9256</v>
      </c>
      <c r="G29" s="76"/>
      <c r="H29" s="74">
        <f t="shared" si="3"/>
        <v>44550</v>
      </c>
      <c r="I29" s="232">
        <v>0</v>
      </c>
      <c r="J29" s="391">
        <v>5.28E-2</v>
      </c>
      <c r="K29" s="76" t="e">
        <f t="shared" si="5"/>
        <v>#REF!</v>
      </c>
      <c r="L29" s="74"/>
      <c r="M29" s="72">
        <f t="shared" si="2"/>
        <v>73.870896000000002</v>
      </c>
    </row>
    <row r="30" spans="1:13" ht="16.5" customHeight="1" x14ac:dyDescent="0.25">
      <c r="A30" s="329">
        <v>0.8</v>
      </c>
      <c r="B30" s="73" t="s">
        <v>120</v>
      </c>
      <c r="C30" s="75">
        <v>3.52</v>
      </c>
      <c r="D30" s="330">
        <v>0</v>
      </c>
      <c r="E30" s="72">
        <f t="shared" si="0"/>
        <v>3.52</v>
      </c>
      <c r="F30" s="72">
        <f t="shared" si="1"/>
        <v>0.28160000000000002</v>
      </c>
      <c r="G30" s="76"/>
      <c r="H30" s="74">
        <f t="shared" si="3"/>
        <v>44550</v>
      </c>
      <c r="I30" s="232">
        <v>0</v>
      </c>
      <c r="J30" s="391">
        <v>5.28E-2</v>
      </c>
      <c r="K30" s="76" t="e">
        <f t="shared" si="5"/>
        <v>#REF!</v>
      </c>
      <c r="L30" s="74"/>
      <c r="M30" s="72">
        <f t="shared" si="2"/>
        <v>0.18585599999999999</v>
      </c>
    </row>
    <row r="31" spans="1:13" ht="16.5" customHeight="1" x14ac:dyDescent="0.25">
      <c r="A31" s="329">
        <v>0.8</v>
      </c>
      <c r="B31" s="73" t="s">
        <v>50</v>
      </c>
      <c r="C31" s="75">
        <v>699.76</v>
      </c>
      <c r="D31" s="330">
        <v>0</v>
      </c>
      <c r="E31" s="72">
        <f t="shared" si="0"/>
        <v>699.76</v>
      </c>
      <c r="F31" s="72">
        <f t="shared" si="1"/>
        <v>55.980800000000002</v>
      </c>
      <c r="G31" s="76"/>
      <c r="H31" s="74">
        <f t="shared" si="3"/>
        <v>44550</v>
      </c>
      <c r="I31" s="232">
        <v>0</v>
      </c>
      <c r="J31" s="391">
        <v>5.28E-2</v>
      </c>
      <c r="K31" s="76" t="e">
        <f t="shared" si="5"/>
        <v>#REF!</v>
      </c>
      <c r="L31" s="74"/>
      <c r="M31" s="72">
        <f t="shared" si="2"/>
        <v>36.947327999999999</v>
      </c>
    </row>
    <row r="32" spans="1:13" ht="16.5" customHeight="1" x14ac:dyDescent="0.25">
      <c r="A32" s="328"/>
      <c r="B32" s="73" t="s">
        <v>51</v>
      </c>
      <c r="C32" s="75">
        <v>2.33</v>
      </c>
      <c r="D32" s="330">
        <v>0</v>
      </c>
      <c r="E32" s="72">
        <f t="shared" si="0"/>
        <v>2.33</v>
      </c>
      <c r="F32" s="72">
        <f t="shared" si="1"/>
        <v>0.18640000000000001</v>
      </c>
      <c r="G32" s="76"/>
      <c r="H32" s="337">
        <f>H31</f>
        <v>44550</v>
      </c>
      <c r="I32" s="232">
        <v>0</v>
      </c>
      <c r="J32" s="391">
        <v>5.28E-2</v>
      </c>
      <c r="K32" s="336"/>
      <c r="L32" s="336"/>
      <c r="M32" s="72">
        <f t="shared" si="2"/>
        <v>0.12302400000000001</v>
      </c>
    </row>
    <row r="33" spans="1:13" ht="16.5" customHeight="1" x14ac:dyDescent="0.25">
      <c r="A33" s="328"/>
      <c r="B33" s="73" t="s">
        <v>52</v>
      </c>
      <c r="C33" s="75">
        <v>3.59</v>
      </c>
      <c r="D33" s="330">
        <v>0</v>
      </c>
      <c r="E33" s="72">
        <f t="shared" si="0"/>
        <v>3.59</v>
      </c>
      <c r="F33" s="72">
        <f t="shared" si="1"/>
        <v>0.28720000000000001</v>
      </c>
      <c r="G33" s="76"/>
      <c r="H33" s="74">
        <f>H31</f>
        <v>44550</v>
      </c>
      <c r="I33" s="232">
        <v>0</v>
      </c>
      <c r="J33" s="391">
        <v>5.28E-2</v>
      </c>
      <c r="K33" s="316"/>
      <c r="L33" s="316"/>
      <c r="M33" s="72">
        <f t="shared" si="2"/>
        <v>0.189552</v>
      </c>
    </row>
    <row r="34" spans="1:13" ht="16.5" customHeight="1" x14ac:dyDescent="0.25">
      <c r="A34" s="328"/>
      <c r="B34" s="73" t="s">
        <v>21</v>
      </c>
      <c r="C34" s="72">
        <v>298.58</v>
      </c>
      <c r="D34" s="330">
        <v>0</v>
      </c>
      <c r="E34" s="72">
        <f t="shared" si="0"/>
        <v>298.58</v>
      </c>
      <c r="F34" s="72">
        <f t="shared" si="1"/>
        <v>23.886399999999998</v>
      </c>
      <c r="G34" s="76"/>
      <c r="H34" s="74">
        <f t="shared" ref="H34:H95" si="6">H32</f>
        <v>44550</v>
      </c>
      <c r="I34" s="232">
        <v>0</v>
      </c>
      <c r="J34" s="391">
        <v>5.28E-2</v>
      </c>
      <c r="K34" s="316"/>
      <c r="L34" s="316"/>
      <c r="M34" s="72">
        <f t="shared" si="2"/>
        <v>15.765023999999999</v>
      </c>
    </row>
    <row r="35" spans="1:13" ht="16.5" customHeight="1" x14ac:dyDescent="0.25">
      <c r="A35" s="328"/>
      <c r="B35" s="73" t="s">
        <v>53</v>
      </c>
      <c r="C35" s="75">
        <v>646.05999999999995</v>
      </c>
      <c r="D35" s="330">
        <v>0</v>
      </c>
      <c r="E35" s="72">
        <f t="shared" si="0"/>
        <v>646.05999999999995</v>
      </c>
      <c r="F35" s="72">
        <f t="shared" si="1"/>
        <v>51.684799999999996</v>
      </c>
      <c r="G35" s="76"/>
      <c r="H35" s="74">
        <f t="shared" si="6"/>
        <v>44550</v>
      </c>
      <c r="I35" s="232">
        <v>0</v>
      </c>
      <c r="J35" s="391">
        <v>5.28E-2</v>
      </c>
      <c r="K35" s="316"/>
      <c r="L35" s="316"/>
      <c r="M35" s="72">
        <f t="shared" si="2"/>
        <v>34.111967999999997</v>
      </c>
    </row>
    <row r="36" spans="1:13" ht="16.5" customHeight="1" x14ac:dyDescent="0.25">
      <c r="A36" s="328"/>
      <c r="B36" s="73" t="s">
        <v>54</v>
      </c>
      <c r="C36" s="75">
        <v>5.38</v>
      </c>
      <c r="D36" s="330">
        <v>0</v>
      </c>
      <c r="E36" s="72">
        <f t="shared" si="0"/>
        <v>5.38</v>
      </c>
      <c r="F36" s="72">
        <f t="shared" si="1"/>
        <v>0.4304</v>
      </c>
      <c r="G36" s="76"/>
      <c r="H36" s="74">
        <f t="shared" si="6"/>
        <v>44550</v>
      </c>
      <c r="I36" s="232">
        <v>0</v>
      </c>
      <c r="J36" s="391">
        <v>5.28E-2</v>
      </c>
      <c r="K36" s="316"/>
      <c r="L36" s="316"/>
      <c r="M36" s="72">
        <f t="shared" si="2"/>
        <v>0.28406399999999998</v>
      </c>
    </row>
    <row r="37" spans="1:13" ht="16.5" customHeight="1" x14ac:dyDescent="0.25">
      <c r="A37" s="328"/>
      <c r="B37" s="73" t="s">
        <v>55</v>
      </c>
      <c r="C37" s="75">
        <v>1.98</v>
      </c>
      <c r="D37" s="330">
        <v>0</v>
      </c>
      <c r="E37" s="72">
        <f t="shared" si="0"/>
        <v>1.98</v>
      </c>
      <c r="F37" s="72">
        <f t="shared" si="1"/>
        <v>0.15840000000000001</v>
      </c>
      <c r="G37" s="76"/>
      <c r="H37" s="74">
        <f t="shared" si="6"/>
        <v>44550</v>
      </c>
      <c r="I37" s="232">
        <v>0</v>
      </c>
      <c r="J37" s="391">
        <v>5.28E-2</v>
      </c>
      <c r="K37" s="316"/>
      <c r="L37" s="316"/>
      <c r="M37" s="72">
        <f t="shared" si="2"/>
        <v>0.104544</v>
      </c>
    </row>
    <row r="38" spans="1:13" ht="16.5" customHeight="1" x14ac:dyDescent="0.25">
      <c r="A38" s="328"/>
      <c r="B38" s="73" t="s">
        <v>56</v>
      </c>
      <c r="C38" s="72">
        <v>270.39</v>
      </c>
      <c r="D38" s="330">
        <v>0</v>
      </c>
      <c r="E38" s="72">
        <f t="shared" si="0"/>
        <v>270.39</v>
      </c>
      <c r="F38" s="72">
        <f t="shared" si="1"/>
        <v>21.6312</v>
      </c>
      <c r="G38" s="76"/>
      <c r="H38" s="74">
        <f t="shared" si="6"/>
        <v>44550</v>
      </c>
      <c r="I38" s="232">
        <v>0</v>
      </c>
      <c r="J38" s="391">
        <v>5.28E-2</v>
      </c>
      <c r="K38" s="316"/>
      <c r="L38" s="316"/>
      <c r="M38" s="72">
        <f t="shared" si="2"/>
        <v>14.276591999999999</v>
      </c>
    </row>
    <row r="39" spans="1:13" ht="16.5" customHeight="1" x14ac:dyDescent="0.25">
      <c r="A39" s="328"/>
      <c r="B39" s="73" t="s">
        <v>57</v>
      </c>
      <c r="C39" s="75">
        <v>1.9</v>
      </c>
      <c r="D39" s="330">
        <v>0</v>
      </c>
      <c r="E39" s="72">
        <f t="shared" si="0"/>
        <v>1.9</v>
      </c>
      <c r="F39" s="72">
        <f t="shared" si="1"/>
        <v>0.152</v>
      </c>
      <c r="G39" s="76"/>
      <c r="H39" s="74">
        <f t="shared" si="6"/>
        <v>44550</v>
      </c>
      <c r="I39" s="232">
        <v>0</v>
      </c>
      <c r="J39" s="391">
        <v>5.28E-2</v>
      </c>
      <c r="K39" s="316"/>
      <c r="L39" s="316"/>
      <c r="M39" s="72">
        <f t="shared" si="2"/>
        <v>0.10031999999999999</v>
      </c>
    </row>
    <row r="40" spans="1:13" ht="16.5" customHeight="1" x14ac:dyDescent="0.25">
      <c r="A40" s="328"/>
      <c r="B40" s="73" t="s">
        <v>220</v>
      </c>
      <c r="C40" s="75">
        <v>26.29</v>
      </c>
      <c r="D40" s="330">
        <v>0</v>
      </c>
      <c r="E40" s="72">
        <f t="shared" si="0"/>
        <v>26.29</v>
      </c>
      <c r="F40" s="72">
        <f t="shared" si="1"/>
        <v>2.1032000000000002</v>
      </c>
      <c r="G40" s="76"/>
      <c r="H40" s="74">
        <f t="shared" si="6"/>
        <v>44550</v>
      </c>
      <c r="I40" s="232">
        <v>0</v>
      </c>
      <c r="J40" s="391">
        <v>5.28E-2</v>
      </c>
      <c r="K40" s="316"/>
      <c r="L40" s="316"/>
      <c r="M40" s="72">
        <f t="shared" si="2"/>
        <v>1.388112</v>
      </c>
    </row>
    <row r="41" spans="1:13" ht="16.5" customHeight="1" x14ac:dyDescent="0.25">
      <c r="A41" s="328"/>
      <c r="B41" s="73" t="s">
        <v>122</v>
      </c>
      <c r="C41" s="75">
        <v>0.18</v>
      </c>
      <c r="D41" s="330">
        <v>0</v>
      </c>
      <c r="E41" s="72">
        <f t="shared" si="0"/>
        <v>0.18</v>
      </c>
      <c r="F41" s="72">
        <f t="shared" si="1"/>
        <v>1.44E-2</v>
      </c>
      <c r="G41" s="76"/>
      <c r="H41" s="74">
        <f t="shared" si="6"/>
        <v>44550</v>
      </c>
      <c r="I41" s="232">
        <v>0</v>
      </c>
      <c r="J41" s="391">
        <v>5.28E-2</v>
      </c>
      <c r="K41" s="316"/>
      <c r="L41" s="316"/>
      <c r="M41" s="72">
        <f t="shared" si="2"/>
        <v>9.5040000000000003E-3</v>
      </c>
    </row>
    <row r="42" spans="1:13" ht="16.5" customHeight="1" x14ac:dyDescent="0.25">
      <c r="A42" s="328"/>
      <c r="B42" s="77" t="s">
        <v>4</v>
      </c>
      <c r="C42" s="75">
        <v>1141.69</v>
      </c>
      <c r="D42" s="330">
        <v>0</v>
      </c>
      <c r="E42" s="72">
        <f t="shared" si="0"/>
        <v>1141.69</v>
      </c>
      <c r="F42" s="72">
        <f t="shared" si="1"/>
        <v>91.3352</v>
      </c>
      <c r="G42" s="76"/>
      <c r="H42" s="74">
        <f t="shared" si="6"/>
        <v>44550</v>
      </c>
      <c r="I42" s="232">
        <v>0</v>
      </c>
      <c r="J42" s="391">
        <v>5.28E-2</v>
      </c>
      <c r="K42" s="316"/>
      <c r="L42" s="316"/>
      <c r="M42" s="72">
        <f t="shared" si="2"/>
        <v>60.281232000000003</v>
      </c>
    </row>
    <row r="43" spans="1:13" ht="16.5" customHeight="1" x14ac:dyDescent="0.25">
      <c r="A43" s="328"/>
      <c r="B43" s="73" t="s">
        <v>22</v>
      </c>
      <c r="C43" s="72">
        <v>1252.22</v>
      </c>
      <c r="D43" s="330">
        <v>0</v>
      </c>
      <c r="E43" s="72">
        <f t="shared" si="0"/>
        <v>1252.22</v>
      </c>
      <c r="F43" s="72">
        <f t="shared" si="1"/>
        <v>100.1776</v>
      </c>
      <c r="G43" s="76"/>
      <c r="H43" s="74">
        <f t="shared" si="6"/>
        <v>44550</v>
      </c>
      <c r="I43" s="232">
        <v>0</v>
      </c>
      <c r="J43" s="391">
        <v>5.28E-2</v>
      </c>
      <c r="K43" s="316"/>
      <c r="L43" s="316"/>
      <c r="M43" s="72">
        <f t="shared" si="2"/>
        <v>66.117215999999999</v>
      </c>
    </row>
    <row r="44" spans="1:13" ht="16.5" customHeight="1" x14ac:dyDescent="0.25">
      <c r="A44" s="328"/>
      <c r="B44" s="73" t="s">
        <v>23</v>
      </c>
      <c r="C44" s="75">
        <v>1604.42</v>
      </c>
      <c r="D44" s="330">
        <v>0</v>
      </c>
      <c r="E44" s="72">
        <f t="shared" si="0"/>
        <v>1604.42</v>
      </c>
      <c r="F44" s="72">
        <f t="shared" si="1"/>
        <v>128.3536</v>
      </c>
      <c r="G44" s="76"/>
      <c r="H44" s="74">
        <f t="shared" si="6"/>
        <v>44550</v>
      </c>
      <c r="I44" s="232">
        <v>0</v>
      </c>
      <c r="J44" s="391">
        <v>5.28E-2</v>
      </c>
      <c r="K44" s="316"/>
      <c r="L44" s="316"/>
      <c r="M44" s="72">
        <f t="shared" si="2"/>
        <v>84.713375999999997</v>
      </c>
    </row>
    <row r="45" spans="1:13" ht="16.5" customHeight="1" x14ac:dyDescent="0.25">
      <c r="A45" s="328"/>
      <c r="B45" s="77" t="s">
        <v>5</v>
      </c>
      <c r="C45" s="75">
        <v>2253.44</v>
      </c>
      <c r="D45" s="330">
        <v>0</v>
      </c>
      <c r="E45" s="72">
        <f t="shared" si="0"/>
        <v>2253.44</v>
      </c>
      <c r="F45" s="72">
        <f t="shared" si="1"/>
        <v>180.27520000000001</v>
      </c>
      <c r="G45" s="76"/>
      <c r="H45" s="74">
        <f t="shared" si="6"/>
        <v>44550</v>
      </c>
      <c r="I45" s="232">
        <v>0</v>
      </c>
      <c r="J45" s="391">
        <v>5.28E-2</v>
      </c>
      <c r="K45" s="316"/>
      <c r="L45" s="316"/>
      <c r="M45" s="72">
        <f t="shared" si="2"/>
        <v>118.981632</v>
      </c>
    </row>
    <row r="46" spans="1:13" ht="16.5" customHeight="1" x14ac:dyDescent="0.25">
      <c r="A46" s="328"/>
      <c r="B46" s="77" t="s">
        <v>24</v>
      </c>
      <c r="C46" s="75">
        <v>342.73</v>
      </c>
      <c r="D46" s="330">
        <v>0</v>
      </c>
      <c r="E46" s="72">
        <f t="shared" si="0"/>
        <v>342.73</v>
      </c>
      <c r="F46" s="72">
        <f t="shared" si="1"/>
        <v>27.418400000000002</v>
      </c>
      <c r="G46" s="76"/>
      <c r="H46" s="74">
        <f t="shared" si="6"/>
        <v>44550</v>
      </c>
      <c r="I46" s="232">
        <v>0</v>
      </c>
      <c r="J46" s="391">
        <v>5.28E-2</v>
      </c>
      <c r="K46" s="316"/>
      <c r="L46" s="316"/>
      <c r="M46" s="72">
        <f t="shared" si="2"/>
        <v>18.096144000000002</v>
      </c>
    </row>
    <row r="47" spans="1:13" ht="16.5" customHeight="1" x14ac:dyDescent="0.25">
      <c r="A47" s="328"/>
      <c r="B47" s="77" t="s">
        <v>6</v>
      </c>
      <c r="C47" s="75">
        <v>1430.39</v>
      </c>
      <c r="D47" s="330">
        <v>0</v>
      </c>
      <c r="E47" s="72">
        <f t="shared" si="0"/>
        <v>1430.39</v>
      </c>
      <c r="F47" s="72">
        <f t="shared" si="1"/>
        <v>114.4312</v>
      </c>
      <c r="G47" s="76"/>
      <c r="H47" s="74">
        <f t="shared" si="6"/>
        <v>44550</v>
      </c>
      <c r="I47" s="232">
        <v>0</v>
      </c>
      <c r="J47" s="391">
        <v>5.28E-2</v>
      </c>
      <c r="K47" s="316"/>
      <c r="L47" s="316"/>
      <c r="M47" s="72">
        <f t="shared" si="2"/>
        <v>75.524591999999998</v>
      </c>
    </row>
    <row r="48" spans="1:13" ht="16.5" customHeight="1" x14ac:dyDescent="0.25">
      <c r="A48" s="328"/>
      <c r="B48" s="77" t="s">
        <v>7</v>
      </c>
      <c r="C48" s="75">
        <v>654.21</v>
      </c>
      <c r="D48" s="330">
        <v>0</v>
      </c>
      <c r="E48" s="72">
        <f t="shared" si="0"/>
        <v>654.21</v>
      </c>
      <c r="F48" s="72">
        <f t="shared" si="1"/>
        <v>52.336800000000004</v>
      </c>
      <c r="G48" s="76"/>
      <c r="H48" s="74">
        <f t="shared" si="6"/>
        <v>44550</v>
      </c>
      <c r="I48" s="232">
        <v>0</v>
      </c>
      <c r="J48" s="391">
        <v>5.28E-2</v>
      </c>
      <c r="K48" s="316"/>
      <c r="L48" s="316"/>
      <c r="M48" s="72">
        <f t="shared" si="2"/>
        <v>34.542287999999999</v>
      </c>
    </row>
    <row r="49" spans="1:13" ht="16.5" customHeight="1" x14ac:dyDescent="0.25">
      <c r="A49" s="328"/>
      <c r="B49" s="73" t="s">
        <v>58</v>
      </c>
      <c r="C49" s="75">
        <v>3.52</v>
      </c>
      <c r="D49" s="330">
        <v>0</v>
      </c>
      <c r="E49" s="72">
        <f t="shared" si="0"/>
        <v>3.52</v>
      </c>
      <c r="F49" s="72">
        <f t="shared" si="1"/>
        <v>0.28160000000000002</v>
      </c>
      <c r="G49" s="76"/>
      <c r="H49" s="74">
        <f t="shared" si="6"/>
        <v>44550</v>
      </c>
      <c r="I49" s="232">
        <v>0</v>
      </c>
      <c r="J49" s="391">
        <v>5.28E-2</v>
      </c>
      <c r="K49" s="316"/>
      <c r="L49" s="316"/>
      <c r="M49" s="72">
        <f t="shared" si="2"/>
        <v>0.18585599999999999</v>
      </c>
    </row>
    <row r="50" spans="1:13" ht="16.5" customHeight="1" x14ac:dyDescent="0.25">
      <c r="A50" s="328"/>
      <c r="B50" s="73" t="s">
        <v>59</v>
      </c>
      <c r="C50" s="75">
        <v>2.0699999999999998</v>
      </c>
      <c r="D50" s="330">
        <v>0</v>
      </c>
      <c r="E50" s="72">
        <f t="shared" si="0"/>
        <v>2.0699999999999998</v>
      </c>
      <c r="F50" s="72">
        <f t="shared" si="1"/>
        <v>0.1656</v>
      </c>
      <c r="G50" s="76"/>
      <c r="H50" s="74">
        <f t="shared" si="6"/>
        <v>44550</v>
      </c>
      <c r="I50" s="232">
        <v>0</v>
      </c>
      <c r="J50" s="391">
        <v>5.28E-2</v>
      </c>
      <c r="K50" s="316"/>
      <c r="L50" s="316"/>
      <c r="M50" s="72">
        <f t="shared" si="2"/>
        <v>0.10929599999999999</v>
      </c>
    </row>
    <row r="51" spans="1:13" ht="16.5" customHeight="1" x14ac:dyDescent="0.25">
      <c r="A51" s="328"/>
      <c r="B51" s="73" t="s">
        <v>25</v>
      </c>
      <c r="C51" s="75">
        <v>2498.61</v>
      </c>
      <c r="D51" s="330">
        <v>0</v>
      </c>
      <c r="E51" s="72">
        <f t="shared" si="0"/>
        <v>2498.61</v>
      </c>
      <c r="F51" s="72">
        <f t="shared" si="1"/>
        <v>199.8888</v>
      </c>
      <c r="G51" s="76"/>
      <c r="H51" s="74">
        <f t="shared" si="6"/>
        <v>44550</v>
      </c>
      <c r="I51" s="232">
        <v>0</v>
      </c>
      <c r="J51" s="391">
        <v>5.28E-2</v>
      </c>
      <c r="K51" s="316"/>
      <c r="L51" s="316"/>
      <c r="M51" s="72">
        <f t="shared" si="2"/>
        <v>131.92660800000002</v>
      </c>
    </row>
    <row r="52" spans="1:13" ht="16.5" customHeight="1" x14ac:dyDescent="0.25">
      <c r="A52" s="328"/>
      <c r="B52" s="73" t="s">
        <v>60</v>
      </c>
      <c r="C52" s="75">
        <v>324.06</v>
      </c>
      <c r="D52" s="330">
        <v>0</v>
      </c>
      <c r="E52" s="72">
        <f t="shared" si="0"/>
        <v>324.06</v>
      </c>
      <c r="F52" s="72">
        <f t="shared" si="1"/>
        <v>25.924800000000001</v>
      </c>
      <c r="G52" s="76"/>
      <c r="H52" s="74">
        <f t="shared" si="6"/>
        <v>44550</v>
      </c>
      <c r="I52" s="232">
        <v>0</v>
      </c>
      <c r="J52" s="391">
        <v>5.28E-2</v>
      </c>
      <c r="K52" s="316"/>
      <c r="L52" s="316"/>
      <c r="M52" s="72">
        <f t="shared" si="2"/>
        <v>17.110368000000001</v>
      </c>
    </row>
    <row r="53" spans="1:13" ht="16.5" customHeight="1" x14ac:dyDescent="0.25">
      <c r="A53" s="328"/>
      <c r="B53" s="73" t="s">
        <v>26</v>
      </c>
      <c r="C53" s="75">
        <v>2022.95</v>
      </c>
      <c r="D53" s="330">
        <v>0</v>
      </c>
      <c r="E53" s="72">
        <f t="shared" si="0"/>
        <v>2022.95</v>
      </c>
      <c r="F53" s="72">
        <f t="shared" si="1"/>
        <v>161.83600000000001</v>
      </c>
      <c r="G53" s="76"/>
      <c r="H53" s="74">
        <f t="shared" si="6"/>
        <v>44550</v>
      </c>
      <c r="I53" s="232">
        <v>0</v>
      </c>
      <c r="J53" s="391">
        <v>5.28E-2</v>
      </c>
      <c r="K53" s="316"/>
      <c r="L53" s="316"/>
      <c r="M53" s="72">
        <f t="shared" si="2"/>
        <v>106.81176000000001</v>
      </c>
    </row>
    <row r="54" spans="1:13" ht="16.5" customHeight="1" x14ac:dyDescent="0.25">
      <c r="A54" s="328"/>
      <c r="B54" s="73" t="s">
        <v>8</v>
      </c>
      <c r="C54" s="72">
        <v>2617.5300000000002</v>
      </c>
      <c r="D54" s="330">
        <v>0</v>
      </c>
      <c r="E54" s="72">
        <f t="shared" si="0"/>
        <v>2617.5300000000002</v>
      </c>
      <c r="F54" s="72">
        <f t="shared" si="1"/>
        <v>209.40240000000003</v>
      </c>
      <c r="G54" s="76"/>
      <c r="H54" s="74">
        <f t="shared" si="6"/>
        <v>44550</v>
      </c>
      <c r="I54" s="232">
        <v>0</v>
      </c>
      <c r="J54" s="391">
        <v>5.28E-2</v>
      </c>
      <c r="K54" s="316"/>
      <c r="L54" s="316"/>
      <c r="M54" s="72">
        <f t="shared" si="2"/>
        <v>138.20558400000002</v>
      </c>
    </row>
    <row r="55" spans="1:13" ht="16.5" customHeight="1" x14ac:dyDescent="0.25">
      <c r="A55" s="328"/>
      <c r="B55" s="73" t="s">
        <v>62</v>
      </c>
      <c r="C55" s="75">
        <v>1.3</v>
      </c>
      <c r="D55" s="330">
        <v>0</v>
      </c>
      <c r="E55" s="72">
        <f t="shared" si="0"/>
        <v>1.3</v>
      </c>
      <c r="F55" s="72">
        <f t="shared" si="1"/>
        <v>0.10400000000000001</v>
      </c>
      <c r="G55" s="76"/>
      <c r="H55" s="74">
        <f t="shared" si="6"/>
        <v>44550</v>
      </c>
      <c r="I55" s="232">
        <v>0</v>
      </c>
      <c r="J55" s="391">
        <v>5.28E-2</v>
      </c>
      <c r="K55" s="316"/>
      <c r="L55" s="316"/>
      <c r="M55" s="72">
        <f t="shared" si="2"/>
        <v>6.8640000000000007E-2</v>
      </c>
    </row>
    <row r="56" spans="1:13" ht="16.5" customHeight="1" x14ac:dyDescent="0.25">
      <c r="A56" s="328"/>
      <c r="B56" s="73" t="s">
        <v>27</v>
      </c>
      <c r="C56" s="75">
        <v>1527.58</v>
      </c>
      <c r="D56" s="330">
        <v>0</v>
      </c>
      <c r="E56" s="72">
        <f t="shared" si="0"/>
        <v>1527.58</v>
      </c>
      <c r="F56" s="72">
        <f t="shared" si="1"/>
        <v>122.2064</v>
      </c>
      <c r="G56" s="76"/>
      <c r="H56" s="74">
        <f t="shared" si="6"/>
        <v>44550</v>
      </c>
      <c r="I56" s="232">
        <v>0</v>
      </c>
      <c r="J56" s="391">
        <v>5.28E-2</v>
      </c>
      <c r="K56" s="316"/>
      <c r="L56" s="316"/>
      <c r="M56" s="72">
        <f t="shared" si="2"/>
        <v>80.656223999999995</v>
      </c>
    </row>
    <row r="57" spans="1:13" ht="16.5" customHeight="1" x14ac:dyDescent="0.25">
      <c r="A57" s="328"/>
      <c r="B57" s="73" t="s">
        <v>63</v>
      </c>
      <c r="C57" s="75">
        <v>0.67</v>
      </c>
      <c r="D57" s="330">
        <v>0</v>
      </c>
      <c r="E57" s="72">
        <f t="shared" si="0"/>
        <v>0.67</v>
      </c>
      <c r="F57" s="72">
        <f t="shared" si="1"/>
        <v>5.3600000000000002E-2</v>
      </c>
      <c r="G57" s="76"/>
      <c r="H57" s="74">
        <f t="shared" si="6"/>
        <v>44550</v>
      </c>
      <c r="I57" s="232">
        <v>0</v>
      </c>
      <c r="J57" s="391">
        <v>5.28E-2</v>
      </c>
      <c r="K57" s="316"/>
      <c r="L57" s="316"/>
      <c r="M57" s="72">
        <f t="shared" si="2"/>
        <v>3.5376000000000005E-2</v>
      </c>
    </row>
    <row r="58" spans="1:13" ht="16.5" customHeight="1" x14ac:dyDescent="0.25">
      <c r="A58" s="328"/>
      <c r="B58" s="73" t="s">
        <v>125</v>
      </c>
      <c r="C58" s="75">
        <v>4.96</v>
      </c>
      <c r="D58" s="330">
        <v>0</v>
      </c>
      <c r="E58" s="72">
        <f t="shared" si="0"/>
        <v>4.96</v>
      </c>
      <c r="F58" s="72">
        <f t="shared" si="1"/>
        <v>0.39679999999999999</v>
      </c>
      <c r="G58" s="76"/>
      <c r="H58" s="74">
        <f t="shared" si="6"/>
        <v>44550</v>
      </c>
      <c r="I58" s="232">
        <v>0</v>
      </c>
      <c r="J58" s="391">
        <v>5.28E-2</v>
      </c>
      <c r="K58" s="316"/>
      <c r="L58" s="316"/>
      <c r="M58" s="72">
        <f t="shared" si="2"/>
        <v>0.26188800000000001</v>
      </c>
    </row>
    <row r="59" spans="1:13" ht="16.5" customHeight="1" x14ac:dyDescent="0.25">
      <c r="A59" s="328"/>
      <c r="B59" s="73" t="s">
        <v>65</v>
      </c>
      <c r="C59" s="75">
        <v>225.29</v>
      </c>
      <c r="D59" s="330">
        <v>0</v>
      </c>
      <c r="E59" s="72">
        <f t="shared" si="0"/>
        <v>225.29</v>
      </c>
      <c r="F59" s="72">
        <f t="shared" si="1"/>
        <v>18.023199999999999</v>
      </c>
      <c r="G59" s="76"/>
      <c r="H59" s="74">
        <f t="shared" si="6"/>
        <v>44550</v>
      </c>
      <c r="I59" s="232">
        <v>0</v>
      </c>
      <c r="J59" s="391">
        <v>5.28E-2</v>
      </c>
      <c r="K59" s="316"/>
      <c r="L59" s="316"/>
      <c r="M59" s="72">
        <f t="shared" si="2"/>
        <v>11.895311999999999</v>
      </c>
    </row>
    <row r="60" spans="1:13" ht="16.5" customHeight="1" x14ac:dyDescent="0.25">
      <c r="A60" s="328"/>
      <c r="B60" s="73" t="s">
        <v>66</v>
      </c>
      <c r="C60" s="75">
        <v>377.59</v>
      </c>
      <c r="D60" s="330">
        <v>0</v>
      </c>
      <c r="E60" s="72">
        <f t="shared" si="0"/>
        <v>377.59</v>
      </c>
      <c r="F60" s="72">
        <f t="shared" si="1"/>
        <v>30.2072</v>
      </c>
      <c r="G60" s="76"/>
      <c r="H60" s="74">
        <f t="shared" si="6"/>
        <v>44550</v>
      </c>
      <c r="I60" s="232">
        <v>0</v>
      </c>
      <c r="J60" s="391">
        <v>5.28E-2</v>
      </c>
      <c r="K60" s="316"/>
      <c r="L60" s="316"/>
      <c r="M60" s="72">
        <f t="shared" si="2"/>
        <v>19.936751999999998</v>
      </c>
    </row>
    <row r="61" spans="1:13" ht="16.5" customHeight="1" x14ac:dyDescent="0.25">
      <c r="A61" s="328"/>
      <c r="B61" s="77" t="s">
        <v>9</v>
      </c>
      <c r="C61" s="75">
        <v>1524.5</v>
      </c>
      <c r="D61" s="330">
        <v>0</v>
      </c>
      <c r="E61" s="72">
        <f t="shared" si="0"/>
        <v>1524.5</v>
      </c>
      <c r="F61" s="72">
        <f t="shared" si="1"/>
        <v>121.96000000000001</v>
      </c>
      <c r="G61" s="76"/>
      <c r="H61" s="74">
        <f t="shared" si="6"/>
        <v>44550</v>
      </c>
      <c r="I61" s="232">
        <v>0</v>
      </c>
      <c r="J61" s="391">
        <v>5.28E-2</v>
      </c>
      <c r="K61" s="316"/>
      <c r="L61" s="316"/>
      <c r="M61" s="72">
        <f t="shared" si="2"/>
        <v>80.493600000000001</v>
      </c>
    </row>
    <row r="62" spans="1:13" ht="16.5" customHeight="1" x14ac:dyDescent="0.25">
      <c r="A62" s="328"/>
      <c r="B62" s="73" t="s">
        <v>67</v>
      </c>
      <c r="C62" s="75">
        <v>198.98</v>
      </c>
      <c r="D62" s="330">
        <v>0</v>
      </c>
      <c r="E62" s="72">
        <f t="shared" si="0"/>
        <v>198.98</v>
      </c>
      <c r="F62" s="72">
        <f t="shared" si="1"/>
        <v>15.9184</v>
      </c>
      <c r="G62" s="76"/>
      <c r="H62" s="74">
        <f t="shared" si="6"/>
        <v>44550</v>
      </c>
      <c r="I62" s="232">
        <v>0</v>
      </c>
      <c r="J62" s="391">
        <v>5.28E-2</v>
      </c>
      <c r="K62" s="316"/>
      <c r="L62" s="316"/>
      <c r="M62" s="72">
        <f t="shared" si="2"/>
        <v>10.506143999999999</v>
      </c>
    </row>
    <row r="63" spans="1:13" ht="16.5" customHeight="1" x14ac:dyDescent="0.25">
      <c r="A63" s="328"/>
      <c r="B63" s="73" t="s">
        <v>232</v>
      </c>
      <c r="C63" s="75">
        <v>451.71</v>
      </c>
      <c r="D63" s="330">
        <v>0</v>
      </c>
      <c r="E63" s="72">
        <f t="shared" si="0"/>
        <v>451.71</v>
      </c>
      <c r="F63" s="72">
        <f t="shared" si="1"/>
        <v>36.136800000000001</v>
      </c>
      <c r="G63" s="76"/>
      <c r="H63" s="74">
        <f t="shared" si="6"/>
        <v>44550</v>
      </c>
      <c r="I63" s="232">
        <v>0</v>
      </c>
      <c r="J63" s="391">
        <v>5.28E-2</v>
      </c>
      <c r="K63" s="316"/>
      <c r="L63" s="316"/>
      <c r="M63" s="72">
        <f t="shared" si="2"/>
        <v>23.850287999999999</v>
      </c>
    </row>
    <row r="64" spans="1:13" ht="16.5" customHeight="1" x14ac:dyDescent="0.25">
      <c r="A64" s="328"/>
      <c r="B64" s="73" t="s">
        <v>69</v>
      </c>
      <c r="C64" s="75">
        <v>211.36</v>
      </c>
      <c r="D64" s="330">
        <v>0</v>
      </c>
      <c r="E64" s="72">
        <f t="shared" si="0"/>
        <v>211.36</v>
      </c>
      <c r="F64" s="72">
        <f t="shared" si="1"/>
        <v>16.908800000000003</v>
      </c>
      <c r="G64" s="76"/>
      <c r="H64" s="74">
        <f t="shared" si="6"/>
        <v>44550</v>
      </c>
      <c r="I64" s="232">
        <v>0</v>
      </c>
      <c r="J64" s="391">
        <v>5.28E-2</v>
      </c>
      <c r="K64" s="316"/>
      <c r="L64" s="316"/>
      <c r="M64" s="72">
        <f t="shared" si="2"/>
        <v>11.159808</v>
      </c>
    </row>
    <row r="65" spans="1:13" ht="16.5" customHeight="1" x14ac:dyDescent="0.25">
      <c r="A65" s="328"/>
      <c r="B65" s="73" t="s">
        <v>72</v>
      </c>
      <c r="C65" s="75">
        <v>3.52</v>
      </c>
      <c r="D65" s="330">
        <v>0</v>
      </c>
      <c r="E65" s="72">
        <f t="shared" si="0"/>
        <v>3.52</v>
      </c>
      <c r="F65" s="72">
        <f t="shared" si="1"/>
        <v>0.28160000000000002</v>
      </c>
      <c r="G65" s="76"/>
      <c r="H65" s="74">
        <f t="shared" si="6"/>
        <v>44550</v>
      </c>
      <c r="I65" s="232">
        <v>0</v>
      </c>
      <c r="J65" s="391">
        <v>5.28E-2</v>
      </c>
      <c r="K65" s="316"/>
      <c r="L65" s="316"/>
      <c r="M65" s="72">
        <f t="shared" si="2"/>
        <v>0.18585599999999999</v>
      </c>
    </row>
    <row r="66" spans="1:13" ht="16.5" customHeight="1" x14ac:dyDescent="0.25">
      <c r="A66" s="328"/>
      <c r="B66" s="73" t="s">
        <v>73</v>
      </c>
      <c r="C66" s="75">
        <v>372.48</v>
      </c>
      <c r="D66" s="330">
        <v>0</v>
      </c>
      <c r="E66" s="72">
        <f t="shared" si="0"/>
        <v>372.48</v>
      </c>
      <c r="F66" s="72">
        <f t="shared" si="1"/>
        <v>29.798400000000001</v>
      </c>
      <c r="G66" s="76"/>
      <c r="H66" s="74">
        <f t="shared" si="6"/>
        <v>44550</v>
      </c>
      <c r="I66" s="232">
        <v>0</v>
      </c>
      <c r="J66" s="391">
        <v>5.28E-2</v>
      </c>
      <c r="K66" s="316"/>
      <c r="L66" s="316"/>
      <c r="M66" s="72">
        <f t="shared" si="2"/>
        <v>19.666944000000001</v>
      </c>
    </row>
    <row r="67" spans="1:13" ht="16.5" customHeight="1" x14ac:dyDescent="0.25">
      <c r="A67" s="328"/>
      <c r="B67" s="73" t="s">
        <v>129</v>
      </c>
      <c r="C67" s="75">
        <v>1.37</v>
      </c>
      <c r="D67" s="330">
        <v>0</v>
      </c>
      <c r="E67" s="72">
        <f t="shared" si="0"/>
        <v>1.37</v>
      </c>
      <c r="F67" s="72">
        <f t="shared" si="1"/>
        <v>0.10960000000000002</v>
      </c>
      <c r="G67" s="76"/>
      <c r="H67" s="74">
        <f t="shared" si="6"/>
        <v>44550</v>
      </c>
      <c r="I67" s="232">
        <v>0</v>
      </c>
      <c r="J67" s="391">
        <v>5.28E-2</v>
      </c>
      <c r="K67" s="316"/>
      <c r="L67" s="316"/>
      <c r="M67" s="72">
        <f t="shared" si="2"/>
        <v>7.2336000000000011E-2</v>
      </c>
    </row>
    <row r="68" spans="1:13" ht="16.5" customHeight="1" x14ac:dyDescent="0.25">
      <c r="A68" s="328"/>
      <c r="B68" s="73" t="s">
        <v>28</v>
      </c>
      <c r="C68" s="75">
        <v>592.52</v>
      </c>
      <c r="D68" s="330">
        <v>0</v>
      </c>
      <c r="E68" s="72">
        <f t="shared" si="0"/>
        <v>592.52</v>
      </c>
      <c r="F68" s="72">
        <f t="shared" si="1"/>
        <v>47.401600000000002</v>
      </c>
      <c r="G68" s="76"/>
      <c r="H68" s="74">
        <f t="shared" si="6"/>
        <v>44550</v>
      </c>
      <c r="I68" s="232">
        <v>0</v>
      </c>
      <c r="J68" s="391">
        <v>5.28E-2</v>
      </c>
      <c r="K68" s="316"/>
      <c r="L68" s="316"/>
      <c r="M68" s="72">
        <f t="shared" si="2"/>
        <v>31.285055999999997</v>
      </c>
    </row>
    <row r="69" spans="1:13" ht="16.5" customHeight="1" x14ac:dyDescent="0.25">
      <c r="A69" s="328"/>
      <c r="B69" s="73" t="s">
        <v>74</v>
      </c>
      <c r="C69" s="75">
        <v>1391.06</v>
      </c>
      <c r="D69" s="330">
        <v>0</v>
      </c>
      <c r="E69" s="72">
        <f t="shared" si="0"/>
        <v>1391.06</v>
      </c>
      <c r="F69" s="72">
        <f t="shared" si="1"/>
        <v>111.2848</v>
      </c>
      <c r="G69" s="76"/>
      <c r="H69" s="74">
        <f t="shared" si="6"/>
        <v>44550</v>
      </c>
      <c r="I69" s="232">
        <v>0</v>
      </c>
      <c r="J69" s="391">
        <v>5.28E-2</v>
      </c>
      <c r="K69" s="316"/>
      <c r="L69" s="316"/>
      <c r="M69" s="72">
        <f t="shared" si="2"/>
        <v>73.447968000000003</v>
      </c>
    </row>
    <row r="70" spans="1:13" ht="16.5" customHeight="1" x14ac:dyDescent="0.25">
      <c r="A70" s="328"/>
      <c r="B70" s="73" t="s">
        <v>29</v>
      </c>
      <c r="C70" s="75">
        <v>982.99</v>
      </c>
      <c r="D70" s="330">
        <v>0</v>
      </c>
      <c r="E70" s="72">
        <f t="shared" ref="E70:E99" si="7">C70-D70</f>
        <v>982.99</v>
      </c>
      <c r="F70" s="72">
        <f t="shared" ref="F70:F99" si="8">C70*8%</f>
        <v>78.639200000000002</v>
      </c>
      <c r="G70" s="76"/>
      <c r="H70" s="74">
        <f t="shared" si="6"/>
        <v>44550</v>
      </c>
      <c r="I70" s="232">
        <v>0</v>
      </c>
      <c r="J70" s="391">
        <v>5.28E-2</v>
      </c>
      <c r="K70" s="316"/>
      <c r="L70" s="316"/>
      <c r="M70" s="72">
        <f t="shared" ref="M70:M99" si="9">E70*J70</f>
        <v>51.901871999999997</v>
      </c>
    </row>
    <row r="71" spans="1:13" ht="16.5" customHeight="1" x14ac:dyDescent="0.25">
      <c r="A71" s="328"/>
      <c r="B71" s="73" t="s">
        <v>10</v>
      </c>
      <c r="C71" s="75">
        <v>39.909999999999997</v>
      </c>
      <c r="D71" s="330">
        <v>0</v>
      </c>
      <c r="E71" s="72">
        <f t="shared" si="7"/>
        <v>39.909999999999997</v>
      </c>
      <c r="F71" s="72">
        <f t="shared" si="8"/>
        <v>3.1927999999999996</v>
      </c>
      <c r="G71" s="76"/>
      <c r="H71" s="74">
        <f t="shared" si="6"/>
        <v>44550</v>
      </c>
      <c r="I71" s="232">
        <v>0</v>
      </c>
      <c r="J71" s="391">
        <v>5.28E-2</v>
      </c>
      <c r="K71" s="316"/>
      <c r="L71" s="316"/>
      <c r="M71" s="72">
        <f t="shared" si="9"/>
        <v>2.1072479999999998</v>
      </c>
    </row>
    <row r="72" spans="1:13" ht="16.5" customHeight="1" x14ac:dyDescent="0.25">
      <c r="A72" s="328"/>
      <c r="B72" s="73" t="s">
        <v>77</v>
      </c>
      <c r="C72" s="75">
        <v>782.32</v>
      </c>
      <c r="D72" s="330">
        <v>0</v>
      </c>
      <c r="E72" s="72">
        <f t="shared" si="7"/>
        <v>782.32</v>
      </c>
      <c r="F72" s="72">
        <f t="shared" si="8"/>
        <v>62.585600000000007</v>
      </c>
      <c r="G72" s="76"/>
      <c r="H72" s="74">
        <f t="shared" si="6"/>
        <v>44550</v>
      </c>
      <c r="I72" s="232">
        <v>0</v>
      </c>
      <c r="J72" s="391">
        <v>5.28E-2</v>
      </c>
      <c r="K72" s="316"/>
      <c r="L72" s="316"/>
      <c r="M72" s="72">
        <f t="shared" si="9"/>
        <v>41.306496000000003</v>
      </c>
    </row>
    <row r="73" spans="1:13" ht="16.5" customHeight="1" x14ac:dyDescent="0.25">
      <c r="A73" s="328"/>
      <c r="B73" s="73" t="s">
        <v>11</v>
      </c>
      <c r="C73" s="72">
        <v>1312.88</v>
      </c>
      <c r="D73" s="330">
        <v>0</v>
      </c>
      <c r="E73" s="72">
        <f t="shared" si="7"/>
        <v>1312.88</v>
      </c>
      <c r="F73" s="72">
        <f t="shared" si="8"/>
        <v>105.03040000000001</v>
      </c>
      <c r="G73" s="76"/>
      <c r="H73" s="74">
        <f t="shared" si="6"/>
        <v>44550</v>
      </c>
      <c r="I73" s="232">
        <v>0</v>
      </c>
      <c r="J73" s="391">
        <v>5.28E-2</v>
      </c>
      <c r="K73" s="316"/>
      <c r="L73" s="316"/>
      <c r="M73" s="72">
        <f t="shared" si="9"/>
        <v>69.320064000000002</v>
      </c>
    </row>
    <row r="74" spans="1:13" ht="16.5" customHeight="1" x14ac:dyDescent="0.25">
      <c r="A74" s="328"/>
      <c r="B74" s="73" t="s">
        <v>78</v>
      </c>
      <c r="C74" s="75">
        <v>789.26</v>
      </c>
      <c r="D74" s="330">
        <v>0</v>
      </c>
      <c r="E74" s="72">
        <f t="shared" si="7"/>
        <v>789.26</v>
      </c>
      <c r="F74" s="72">
        <f t="shared" si="8"/>
        <v>63.140799999999999</v>
      </c>
      <c r="G74" s="76"/>
      <c r="H74" s="74">
        <f t="shared" si="6"/>
        <v>44550</v>
      </c>
      <c r="I74" s="232">
        <v>0</v>
      </c>
      <c r="J74" s="391">
        <v>5.28E-2</v>
      </c>
      <c r="K74" s="316"/>
      <c r="L74" s="316"/>
      <c r="M74" s="72">
        <f t="shared" si="9"/>
        <v>41.672927999999999</v>
      </c>
    </row>
    <row r="75" spans="1:13" ht="16.5" customHeight="1" x14ac:dyDescent="0.25">
      <c r="A75" s="328"/>
      <c r="B75" s="77" t="s">
        <v>12</v>
      </c>
      <c r="C75" s="75">
        <v>693.39</v>
      </c>
      <c r="D75" s="330">
        <v>0</v>
      </c>
      <c r="E75" s="72">
        <f t="shared" si="7"/>
        <v>693.39</v>
      </c>
      <c r="F75" s="72">
        <f t="shared" si="8"/>
        <v>55.471200000000003</v>
      </c>
      <c r="G75" s="76"/>
      <c r="H75" s="74">
        <f t="shared" si="6"/>
        <v>44550</v>
      </c>
      <c r="I75" s="232">
        <v>0</v>
      </c>
      <c r="J75" s="391">
        <v>5.28E-2</v>
      </c>
      <c r="K75" s="316"/>
      <c r="L75" s="316"/>
      <c r="M75" s="72">
        <f t="shared" si="9"/>
        <v>36.610991999999996</v>
      </c>
    </row>
    <row r="76" spans="1:13" ht="16.5" customHeight="1" x14ac:dyDescent="0.25">
      <c r="A76" s="328"/>
      <c r="B76" s="77" t="s">
        <v>13</v>
      </c>
      <c r="C76" s="75">
        <v>982.88</v>
      </c>
      <c r="D76" s="330">
        <v>0</v>
      </c>
      <c r="E76" s="72">
        <f t="shared" si="7"/>
        <v>982.88</v>
      </c>
      <c r="F76" s="72">
        <f t="shared" si="8"/>
        <v>78.630399999999995</v>
      </c>
      <c r="G76" s="76"/>
      <c r="H76" s="74">
        <f t="shared" si="6"/>
        <v>44550</v>
      </c>
      <c r="I76" s="232">
        <v>0</v>
      </c>
      <c r="J76" s="391">
        <v>5.28E-2</v>
      </c>
      <c r="K76" s="316"/>
      <c r="L76" s="316"/>
      <c r="M76" s="72">
        <f t="shared" si="9"/>
        <v>51.896064000000003</v>
      </c>
    </row>
    <row r="77" spans="1:13" ht="16.5" customHeight="1" x14ac:dyDescent="0.25">
      <c r="A77" s="328"/>
      <c r="B77" s="73" t="s">
        <v>79</v>
      </c>
      <c r="C77" s="75">
        <v>508.42</v>
      </c>
      <c r="D77" s="330">
        <v>0</v>
      </c>
      <c r="E77" s="72">
        <f t="shared" si="7"/>
        <v>508.42</v>
      </c>
      <c r="F77" s="72">
        <f t="shared" si="8"/>
        <v>40.6736</v>
      </c>
      <c r="G77" s="76"/>
      <c r="H77" s="74">
        <f t="shared" si="6"/>
        <v>44550</v>
      </c>
      <c r="I77" s="232">
        <v>0</v>
      </c>
      <c r="J77" s="391">
        <v>5.28E-2</v>
      </c>
      <c r="K77" s="316"/>
      <c r="L77" s="316"/>
      <c r="M77" s="72">
        <f t="shared" si="9"/>
        <v>26.844576</v>
      </c>
    </row>
    <row r="78" spans="1:13" ht="16.5" customHeight="1" x14ac:dyDescent="0.25">
      <c r="A78" s="328"/>
      <c r="B78" s="73" t="s">
        <v>80</v>
      </c>
      <c r="C78" s="75">
        <v>926.05</v>
      </c>
      <c r="D78" s="330">
        <v>0</v>
      </c>
      <c r="E78" s="72">
        <f t="shared" si="7"/>
        <v>926.05</v>
      </c>
      <c r="F78" s="72">
        <f t="shared" si="8"/>
        <v>74.084000000000003</v>
      </c>
      <c r="G78" s="76"/>
      <c r="H78" s="74">
        <f t="shared" si="6"/>
        <v>44550</v>
      </c>
      <c r="I78" s="232">
        <v>0</v>
      </c>
      <c r="J78" s="391">
        <v>5.28E-2</v>
      </c>
      <c r="K78" s="316"/>
      <c r="L78" s="316"/>
      <c r="M78" s="72">
        <f t="shared" si="9"/>
        <v>48.895440000000001</v>
      </c>
    </row>
    <row r="79" spans="1:13" ht="16.5" customHeight="1" x14ac:dyDescent="0.25">
      <c r="A79" s="328"/>
      <c r="B79" s="73" t="s">
        <v>81</v>
      </c>
      <c r="C79" s="75">
        <v>778.77</v>
      </c>
      <c r="D79" s="330">
        <v>0</v>
      </c>
      <c r="E79" s="72">
        <f t="shared" si="7"/>
        <v>778.77</v>
      </c>
      <c r="F79" s="72">
        <f t="shared" si="8"/>
        <v>62.301600000000001</v>
      </c>
      <c r="G79" s="76"/>
      <c r="H79" s="74">
        <f t="shared" si="6"/>
        <v>44550</v>
      </c>
      <c r="I79" s="232">
        <v>0</v>
      </c>
      <c r="J79" s="391">
        <v>5.28E-2</v>
      </c>
      <c r="K79" s="316"/>
      <c r="L79" s="316"/>
      <c r="M79" s="72">
        <f t="shared" si="9"/>
        <v>41.119056</v>
      </c>
    </row>
    <row r="80" spans="1:13" ht="16.5" customHeight="1" x14ac:dyDescent="0.25">
      <c r="A80" s="328"/>
      <c r="B80" s="77" t="s">
        <v>104</v>
      </c>
      <c r="C80" s="75">
        <v>966.6</v>
      </c>
      <c r="D80" s="330">
        <v>0</v>
      </c>
      <c r="E80" s="72">
        <f t="shared" si="7"/>
        <v>966.6</v>
      </c>
      <c r="F80" s="72">
        <f t="shared" si="8"/>
        <v>77.328000000000003</v>
      </c>
      <c r="G80" s="76"/>
      <c r="H80" s="74">
        <f t="shared" si="6"/>
        <v>44550</v>
      </c>
      <c r="I80" s="232">
        <v>0</v>
      </c>
      <c r="J80" s="391">
        <v>5.28E-2</v>
      </c>
      <c r="K80" s="316"/>
      <c r="L80" s="316"/>
      <c r="M80" s="72">
        <f t="shared" si="9"/>
        <v>51.036479999999997</v>
      </c>
    </row>
    <row r="81" spans="1:13" ht="16.5" customHeight="1" x14ac:dyDescent="0.25">
      <c r="A81" s="328"/>
      <c r="B81" s="73" t="s">
        <v>82</v>
      </c>
      <c r="C81" s="75">
        <v>698.92</v>
      </c>
      <c r="D81" s="330">
        <v>0</v>
      </c>
      <c r="E81" s="72">
        <f t="shared" si="7"/>
        <v>698.92</v>
      </c>
      <c r="F81" s="72">
        <f t="shared" si="8"/>
        <v>55.913599999999995</v>
      </c>
      <c r="G81" s="76"/>
      <c r="H81" s="74">
        <f t="shared" si="6"/>
        <v>44550</v>
      </c>
      <c r="I81" s="232">
        <v>0</v>
      </c>
      <c r="J81" s="391">
        <v>5.28E-2</v>
      </c>
      <c r="K81" s="316"/>
      <c r="L81" s="316"/>
      <c r="M81" s="72">
        <f t="shared" si="9"/>
        <v>36.902975999999995</v>
      </c>
    </row>
    <row r="82" spans="1:13" ht="16.5" customHeight="1" x14ac:dyDescent="0.25">
      <c r="A82" s="328"/>
      <c r="B82" s="73" t="s">
        <v>102</v>
      </c>
      <c r="C82" s="72">
        <v>1907.06</v>
      </c>
      <c r="D82" s="330">
        <v>0</v>
      </c>
      <c r="E82" s="72">
        <f t="shared" si="7"/>
        <v>1907.06</v>
      </c>
      <c r="F82" s="72">
        <f t="shared" si="8"/>
        <v>152.56479999999999</v>
      </c>
      <c r="G82" s="76"/>
      <c r="H82" s="74">
        <f t="shared" si="6"/>
        <v>44550</v>
      </c>
      <c r="I82" s="232">
        <v>0</v>
      </c>
      <c r="J82" s="391">
        <v>5.28E-2</v>
      </c>
      <c r="K82" s="316"/>
      <c r="L82" s="316"/>
      <c r="M82" s="72">
        <f t="shared" si="9"/>
        <v>100.692768</v>
      </c>
    </row>
    <row r="83" spans="1:13" ht="16.5" customHeight="1" x14ac:dyDescent="0.25">
      <c r="A83" s="328"/>
      <c r="B83" s="73" t="s">
        <v>112</v>
      </c>
      <c r="C83" s="75">
        <v>3.52</v>
      </c>
      <c r="D83" s="330">
        <v>0</v>
      </c>
      <c r="E83" s="72">
        <f t="shared" si="7"/>
        <v>3.52</v>
      </c>
      <c r="F83" s="72">
        <f t="shared" si="8"/>
        <v>0.28160000000000002</v>
      </c>
      <c r="G83" s="76"/>
      <c r="H83" s="74">
        <f t="shared" si="6"/>
        <v>44550</v>
      </c>
      <c r="I83" s="232">
        <v>0</v>
      </c>
      <c r="J83" s="391">
        <v>5.28E-2</v>
      </c>
      <c r="K83" s="316"/>
      <c r="L83" s="316"/>
      <c r="M83" s="72">
        <f t="shared" si="9"/>
        <v>0.18585599999999999</v>
      </c>
    </row>
    <row r="84" spans="1:13" ht="16.5" customHeight="1" x14ac:dyDescent="0.25">
      <c r="A84" s="328"/>
      <c r="B84" s="73" t="s">
        <v>31</v>
      </c>
      <c r="C84" s="75">
        <v>1567.72</v>
      </c>
      <c r="D84" s="330">
        <v>0</v>
      </c>
      <c r="E84" s="72">
        <f t="shared" si="7"/>
        <v>1567.72</v>
      </c>
      <c r="F84" s="72">
        <f t="shared" si="8"/>
        <v>125.41760000000001</v>
      </c>
      <c r="G84" s="76"/>
      <c r="H84" s="74">
        <f t="shared" si="6"/>
        <v>44550</v>
      </c>
      <c r="I84" s="232">
        <v>0</v>
      </c>
      <c r="J84" s="391">
        <v>5.28E-2</v>
      </c>
      <c r="K84" s="316"/>
      <c r="L84" s="316"/>
      <c r="M84" s="72">
        <f t="shared" si="9"/>
        <v>82.775615999999999</v>
      </c>
    </row>
    <row r="85" spans="1:13" ht="16.5" customHeight="1" x14ac:dyDescent="0.25">
      <c r="A85" s="328"/>
      <c r="B85" s="73" t="s">
        <v>85</v>
      </c>
      <c r="C85" s="75">
        <v>4.6500000000000004</v>
      </c>
      <c r="D85" s="330">
        <v>0</v>
      </c>
      <c r="E85" s="72">
        <f t="shared" si="7"/>
        <v>4.6500000000000004</v>
      </c>
      <c r="F85" s="72">
        <f t="shared" si="8"/>
        <v>0.37200000000000005</v>
      </c>
      <c r="G85" s="76"/>
      <c r="H85" s="74">
        <f t="shared" si="6"/>
        <v>44550</v>
      </c>
      <c r="I85" s="232">
        <v>0</v>
      </c>
      <c r="J85" s="391">
        <v>5.28E-2</v>
      </c>
      <c r="K85" s="316"/>
      <c r="L85" s="316"/>
      <c r="M85" s="72">
        <f t="shared" si="9"/>
        <v>0.24552000000000002</v>
      </c>
    </row>
    <row r="86" spans="1:13" ht="16.5" customHeight="1" x14ac:dyDescent="0.25">
      <c r="A86" s="328"/>
      <c r="B86" s="73" t="s">
        <v>32</v>
      </c>
      <c r="C86" s="75">
        <v>959.52</v>
      </c>
      <c r="D86" s="330">
        <v>0</v>
      </c>
      <c r="E86" s="72">
        <f t="shared" si="7"/>
        <v>959.52</v>
      </c>
      <c r="F86" s="72">
        <f t="shared" si="8"/>
        <v>76.761600000000001</v>
      </c>
      <c r="G86" s="76"/>
      <c r="H86" s="74">
        <f t="shared" si="6"/>
        <v>44550</v>
      </c>
      <c r="I86" s="232">
        <v>0</v>
      </c>
      <c r="J86" s="391">
        <v>5.28E-2</v>
      </c>
      <c r="K86" s="316"/>
      <c r="L86" s="316"/>
      <c r="M86" s="72">
        <f t="shared" si="9"/>
        <v>50.662655999999998</v>
      </c>
    </row>
    <row r="87" spans="1:13" ht="16.5" customHeight="1" x14ac:dyDescent="0.25">
      <c r="A87" s="328"/>
      <c r="B87" s="73" t="s">
        <v>87</v>
      </c>
      <c r="C87" s="75">
        <v>2.0699999999999998</v>
      </c>
      <c r="D87" s="330">
        <v>0</v>
      </c>
      <c r="E87" s="72">
        <f t="shared" si="7"/>
        <v>2.0699999999999998</v>
      </c>
      <c r="F87" s="72">
        <f t="shared" si="8"/>
        <v>0.1656</v>
      </c>
      <c r="G87" s="76"/>
      <c r="H87" s="74">
        <f t="shared" si="6"/>
        <v>44550</v>
      </c>
      <c r="I87" s="232">
        <v>0</v>
      </c>
      <c r="J87" s="391">
        <v>5.28E-2</v>
      </c>
      <c r="K87" s="316"/>
      <c r="L87" s="316"/>
      <c r="M87" s="72">
        <f t="shared" si="9"/>
        <v>0.10929599999999999</v>
      </c>
    </row>
    <row r="88" spans="1:13" ht="16.5" customHeight="1" x14ac:dyDescent="0.25">
      <c r="A88" s="328"/>
      <c r="B88" s="73" t="s">
        <v>88</v>
      </c>
      <c r="C88" s="75">
        <v>3.52</v>
      </c>
      <c r="D88" s="330">
        <v>0</v>
      </c>
      <c r="E88" s="72">
        <f t="shared" si="7"/>
        <v>3.52</v>
      </c>
      <c r="F88" s="72">
        <f t="shared" si="8"/>
        <v>0.28160000000000002</v>
      </c>
      <c r="G88" s="76"/>
      <c r="H88" s="74">
        <f t="shared" si="6"/>
        <v>44550</v>
      </c>
      <c r="I88" s="232">
        <v>0</v>
      </c>
      <c r="J88" s="391">
        <v>5.28E-2</v>
      </c>
      <c r="K88" s="316"/>
      <c r="L88" s="316"/>
      <c r="M88" s="72">
        <f t="shared" si="9"/>
        <v>0.18585599999999999</v>
      </c>
    </row>
    <row r="89" spans="1:13" ht="16.5" customHeight="1" x14ac:dyDescent="0.25">
      <c r="A89" s="328"/>
      <c r="B89" s="73" t="s">
        <v>89</v>
      </c>
      <c r="C89" s="75">
        <v>3.18</v>
      </c>
      <c r="D89" s="330">
        <v>0</v>
      </c>
      <c r="E89" s="72">
        <f t="shared" si="7"/>
        <v>3.18</v>
      </c>
      <c r="F89" s="72">
        <f t="shared" si="8"/>
        <v>0.25440000000000002</v>
      </c>
      <c r="G89" s="76"/>
      <c r="H89" s="74">
        <f t="shared" si="6"/>
        <v>44550</v>
      </c>
      <c r="I89" s="232">
        <v>0</v>
      </c>
      <c r="J89" s="391">
        <v>5.28E-2</v>
      </c>
      <c r="K89" s="316"/>
      <c r="L89" s="316"/>
      <c r="M89" s="72">
        <f t="shared" si="9"/>
        <v>0.167904</v>
      </c>
    </row>
    <row r="90" spans="1:13" ht="16.5" customHeight="1" x14ac:dyDescent="0.25">
      <c r="A90" s="328"/>
      <c r="B90" s="73" t="s">
        <v>113</v>
      </c>
      <c r="C90" s="75">
        <v>217.63</v>
      </c>
      <c r="D90" s="330">
        <v>217.63</v>
      </c>
      <c r="E90" s="72">
        <f t="shared" si="7"/>
        <v>0</v>
      </c>
      <c r="F90" s="72">
        <f t="shared" si="8"/>
        <v>17.410399999999999</v>
      </c>
      <c r="G90" s="76">
        <v>44567</v>
      </c>
      <c r="H90" s="74">
        <f t="shared" si="6"/>
        <v>44550</v>
      </c>
      <c r="I90" s="232">
        <f>G90-H90</f>
        <v>17</v>
      </c>
      <c r="J90" s="391">
        <v>5.28E-2</v>
      </c>
      <c r="K90" s="316"/>
      <c r="L90" s="316"/>
      <c r="M90" s="72">
        <f t="shared" si="9"/>
        <v>0</v>
      </c>
    </row>
    <row r="91" spans="1:13" ht="16.5" customHeight="1" x14ac:dyDescent="0.25">
      <c r="A91" s="328"/>
      <c r="B91" s="73" t="s">
        <v>90</v>
      </c>
      <c r="C91" s="75">
        <v>4.8099999999999996</v>
      </c>
      <c r="D91" s="330">
        <v>0</v>
      </c>
      <c r="E91" s="72">
        <f t="shared" si="7"/>
        <v>4.8099999999999996</v>
      </c>
      <c r="F91" s="72">
        <f t="shared" si="8"/>
        <v>0.38479999999999998</v>
      </c>
      <c r="G91" s="76"/>
      <c r="H91" s="74">
        <f t="shared" si="6"/>
        <v>44550</v>
      </c>
      <c r="I91" s="232">
        <v>0</v>
      </c>
      <c r="J91" s="391">
        <v>5.28E-2</v>
      </c>
      <c r="K91" s="316"/>
      <c r="L91" s="316"/>
      <c r="M91" s="72">
        <f t="shared" si="9"/>
        <v>0.25396799999999997</v>
      </c>
    </row>
    <row r="92" spans="1:13" ht="16.5" customHeight="1" x14ac:dyDescent="0.25">
      <c r="A92" s="328"/>
      <c r="B92" s="73" t="s">
        <v>93</v>
      </c>
      <c r="C92" s="75">
        <v>1.37</v>
      </c>
      <c r="D92" s="330">
        <v>0</v>
      </c>
      <c r="E92" s="72">
        <f t="shared" si="7"/>
        <v>1.37</v>
      </c>
      <c r="F92" s="72">
        <f t="shared" si="8"/>
        <v>0.10960000000000002</v>
      </c>
      <c r="G92" s="76"/>
      <c r="H92" s="74">
        <f t="shared" si="6"/>
        <v>44550</v>
      </c>
      <c r="I92" s="232">
        <v>0</v>
      </c>
      <c r="J92" s="391">
        <v>5.28E-2</v>
      </c>
      <c r="K92" s="316"/>
      <c r="L92" s="316"/>
      <c r="M92" s="72">
        <f t="shared" si="9"/>
        <v>7.2336000000000011E-2</v>
      </c>
    </row>
    <row r="93" spans="1:13" ht="16.5" customHeight="1" x14ac:dyDescent="0.25">
      <c r="A93" s="328"/>
      <c r="B93" s="73" t="s">
        <v>94</v>
      </c>
      <c r="C93" s="75">
        <v>990.24</v>
      </c>
      <c r="D93" s="330">
        <v>0</v>
      </c>
      <c r="E93" s="72">
        <f t="shared" si="7"/>
        <v>990.24</v>
      </c>
      <c r="F93" s="72">
        <f t="shared" si="8"/>
        <v>79.219200000000001</v>
      </c>
      <c r="G93" s="76"/>
      <c r="H93" s="74">
        <f t="shared" si="6"/>
        <v>44550</v>
      </c>
      <c r="I93" s="232">
        <v>0</v>
      </c>
      <c r="J93" s="391">
        <v>5.28E-2</v>
      </c>
      <c r="K93" s="316"/>
      <c r="L93" s="316"/>
      <c r="M93" s="72">
        <f t="shared" si="9"/>
        <v>52.284672</v>
      </c>
    </row>
    <row r="94" spans="1:13" ht="16.5" customHeight="1" x14ac:dyDescent="0.25">
      <c r="A94" s="328"/>
      <c r="B94" s="73" t="s">
        <v>95</v>
      </c>
      <c r="C94" s="75">
        <v>641.66</v>
      </c>
      <c r="D94" s="330">
        <v>0</v>
      </c>
      <c r="E94" s="72">
        <f t="shared" si="7"/>
        <v>641.66</v>
      </c>
      <c r="F94" s="72">
        <f t="shared" si="8"/>
        <v>51.332799999999999</v>
      </c>
      <c r="G94" s="76"/>
      <c r="H94" s="74">
        <f t="shared" si="6"/>
        <v>44550</v>
      </c>
      <c r="I94" s="232">
        <v>0</v>
      </c>
      <c r="J94" s="391">
        <v>5.28E-2</v>
      </c>
      <c r="K94" s="316"/>
      <c r="L94" s="316"/>
      <c r="M94" s="72">
        <f t="shared" si="9"/>
        <v>33.879647999999996</v>
      </c>
    </row>
    <row r="95" spans="1:13" ht="16.5" customHeight="1" x14ac:dyDescent="0.25">
      <c r="A95" s="328"/>
      <c r="B95" s="77" t="s">
        <v>15</v>
      </c>
      <c r="C95" s="75">
        <v>96.53</v>
      </c>
      <c r="D95" s="330">
        <v>0</v>
      </c>
      <c r="E95" s="72">
        <f t="shared" si="7"/>
        <v>96.53</v>
      </c>
      <c r="F95" s="72">
        <f t="shared" si="8"/>
        <v>7.7224000000000004</v>
      </c>
      <c r="G95" s="76"/>
      <c r="H95" s="74">
        <f t="shared" si="6"/>
        <v>44550</v>
      </c>
      <c r="I95" s="232">
        <v>0</v>
      </c>
      <c r="J95" s="391">
        <v>5.28E-2</v>
      </c>
      <c r="K95" s="316"/>
      <c r="L95" s="316"/>
      <c r="M95" s="72">
        <f t="shared" si="9"/>
        <v>5.0967840000000004</v>
      </c>
    </row>
    <row r="96" spans="1:13" ht="16.5" customHeight="1" x14ac:dyDescent="0.25">
      <c r="A96" s="328"/>
      <c r="B96" s="73" t="s">
        <v>98</v>
      </c>
      <c r="C96" s="72">
        <v>944.28</v>
      </c>
      <c r="D96" s="330">
        <v>0</v>
      </c>
      <c r="E96" s="72">
        <f t="shared" si="7"/>
        <v>944.28</v>
      </c>
      <c r="F96" s="72">
        <f t="shared" si="8"/>
        <v>75.542400000000001</v>
      </c>
      <c r="G96" s="76"/>
      <c r="H96" s="74">
        <f>H95</f>
        <v>44550</v>
      </c>
      <c r="I96" s="232">
        <v>0</v>
      </c>
      <c r="J96" s="391">
        <v>5.28E-2</v>
      </c>
      <c r="K96" s="316"/>
      <c r="L96" s="316"/>
      <c r="M96" s="72">
        <f t="shared" si="9"/>
        <v>49.857983999999995</v>
      </c>
    </row>
    <row r="97" spans="1:17" ht="16.5" customHeight="1" x14ac:dyDescent="0.25">
      <c r="A97" s="328"/>
      <c r="B97" s="73" t="s">
        <v>99</v>
      </c>
      <c r="C97" s="75">
        <v>1010.78</v>
      </c>
      <c r="D97" s="330">
        <v>0</v>
      </c>
      <c r="E97" s="72">
        <f t="shared" si="7"/>
        <v>1010.78</v>
      </c>
      <c r="F97" s="72">
        <f t="shared" si="8"/>
        <v>80.862399999999994</v>
      </c>
      <c r="G97" s="76"/>
      <c r="H97" s="74" t="e">
        <f>#REF!</f>
        <v>#REF!</v>
      </c>
      <c r="I97" s="232">
        <v>0</v>
      </c>
      <c r="J97" s="391">
        <v>5.28E-2</v>
      </c>
      <c r="K97" s="316"/>
      <c r="L97" s="316"/>
      <c r="M97" s="72">
        <f t="shared" si="9"/>
        <v>53.369183999999997</v>
      </c>
    </row>
    <row r="98" spans="1:17" ht="16.5" customHeight="1" x14ac:dyDescent="0.25">
      <c r="A98" s="328"/>
      <c r="B98" s="73" t="s">
        <v>100</v>
      </c>
      <c r="C98" s="78">
        <v>663.79</v>
      </c>
      <c r="D98" s="330">
        <v>0</v>
      </c>
      <c r="E98" s="72">
        <f t="shared" si="7"/>
        <v>663.79</v>
      </c>
      <c r="F98" s="72">
        <f t="shared" si="8"/>
        <v>53.103200000000001</v>
      </c>
      <c r="G98" s="76"/>
      <c r="H98" s="74">
        <f t="shared" ref="H98:H99" si="10">H96</f>
        <v>44550</v>
      </c>
      <c r="I98" s="232">
        <v>0</v>
      </c>
      <c r="J98" s="391">
        <v>5.28E-2</v>
      </c>
      <c r="K98" s="316"/>
      <c r="L98" s="316"/>
      <c r="M98" s="72">
        <f t="shared" si="9"/>
        <v>35.048111999999996</v>
      </c>
    </row>
    <row r="99" spans="1:17" ht="16.5" customHeight="1" x14ac:dyDescent="0.25">
      <c r="A99" s="328"/>
      <c r="B99" s="73" t="s">
        <v>101</v>
      </c>
      <c r="C99" s="78">
        <v>1.31</v>
      </c>
      <c r="D99" s="330">
        <v>0</v>
      </c>
      <c r="E99" s="72">
        <f t="shared" si="7"/>
        <v>1.31</v>
      </c>
      <c r="F99" s="72">
        <f t="shared" si="8"/>
        <v>0.1048</v>
      </c>
      <c r="G99" s="76"/>
      <c r="H99" s="74" t="e">
        <f t="shared" si="10"/>
        <v>#REF!</v>
      </c>
      <c r="I99" s="232">
        <v>0</v>
      </c>
      <c r="J99" s="391">
        <v>5.28E-2</v>
      </c>
      <c r="K99" s="316"/>
      <c r="L99" s="316"/>
      <c r="M99" s="72">
        <f t="shared" si="9"/>
        <v>6.9168000000000007E-2</v>
      </c>
    </row>
    <row r="100" spans="1:17" s="65" customFormat="1" ht="17.25" customHeight="1" x14ac:dyDescent="0.25">
      <c r="A100" s="190"/>
      <c r="B100" s="181" t="s">
        <v>162</v>
      </c>
      <c r="C100" s="181">
        <f>SUM(C5:C99)</f>
        <v>54340.809999999969</v>
      </c>
      <c r="D100" s="181">
        <f>SUM(D5:D99)</f>
        <v>910.56</v>
      </c>
      <c r="E100" s="317">
        <f>SUM(E5:E99)</f>
        <v>53430.249999999971</v>
      </c>
      <c r="F100" s="181">
        <f>SUM(F5:F99)</f>
        <v>4347.2647999999981</v>
      </c>
      <c r="G100" s="182"/>
      <c r="H100" s="182"/>
      <c r="I100" s="182"/>
      <c r="J100" s="245">
        <f>SUM(J5:J99)</f>
        <v>5.0160000000000053</v>
      </c>
      <c r="K100" s="182"/>
      <c r="L100" s="182"/>
      <c r="M100" s="181">
        <f>SUM(M5:M99)</f>
        <v>2821.1172000000006</v>
      </c>
    </row>
    <row r="102" spans="1:17" x14ac:dyDescent="0.25">
      <c r="B102" s="166"/>
      <c r="C102" s="220"/>
      <c r="D102" s="166"/>
      <c r="E102" s="166"/>
      <c r="F102" s="166"/>
      <c r="G102" s="67"/>
      <c r="H102" s="67"/>
      <c r="I102" s="67"/>
      <c r="J102" s="67"/>
      <c r="K102" s="67"/>
      <c r="L102" s="67"/>
      <c r="M102" s="67"/>
    </row>
    <row r="103" spans="1:17" x14ac:dyDescent="0.25">
      <c r="B103" s="166"/>
      <c r="C103" s="97"/>
      <c r="D103" s="97"/>
      <c r="E103" s="166"/>
      <c r="F103" s="166"/>
    </row>
    <row r="104" spans="1:17" x14ac:dyDescent="0.25">
      <c r="B104" s="166"/>
      <c r="C104" s="97"/>
      <c r="D104" s="97"/>
      <c r="E104" s="166"/>
      <c r="F104" s="166"/>
    </row>
    <row r="105" spans="1:17" x14ac:dyDescent="0.25">
      <c r="B105" s="166"/>
      <c r="C105" s="97"/>
      <c r="D105" s="97"/>
      <c r="E105" s="166"/>
      <c r="F105" s="166"/>
    </row>
    <row r="106" spans="1:17" s="69" customFormat="1" x14ac:dyDescent="0.25">
      <c r="A106" s="60"/>
      <c r="B106" s="60"/>
      <c r="C106" s="97"/>
      <c r="D106" s="97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</row>
    <row r="107" spans="1:17" s="69" customFormat="1" x14ac:dyDescent="0.25">
      <c r="A107" s="60"/>
      <c r="B107" s="60"/>
      <c r="C107" s="97"/>
      <c r="D107" s="97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</row>
  </sheetData>
  <autoFilter ref="A4:M99" xr:uid="{00000000-0009-0000-0000-000000000000}"/>
  <pageMargins left="0.51181102362204722" right="0.51181102362204722" top="0.47244094488188981" bottom="0.47244094488188981" header="0.31496062992125984" footer="0.31496062992125984"/>
  <pageSetup paperSize="9" scale="7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92759-02C6-4738-AE18-51084EEF0070}">
  <sheetPr>
    <tabColor rgb="FF00B050"/>
    <pageSetUpPr fitToPage="1"/>
  </sheetPr>
  <dimension ref="A1:O114"/>
  <sheetViews>
    <sheetView showGridLines="0" workbookViewId="0">
      <selection activeCell="S96" sqref="S96"/>
    </sheetView>
  </sheetViews>
  <sheetFormatPr defaultRowHeight="15" x14ac:dyDescent="0.25"/>
  <cols>
    <col min="1" max="1" width="9.85546875" style="91" customWidth="1"/>
    <col min="2" max="2" width="44.7109375" style="91" bestFit="1" customWidth="1"/>
    <col min="3" max="3" width="12.7109375" style="90" customWidth="1"/>
    <col min="4" max="4" width="12" style="100" customWidth="1"/>
    <col min="5" max="5" width="14.7109375" style="100" customWidth="1"/>
    <col min="6" max="6" width="15.28515625" style="100" customWidth="1"/>
    <col min="7" max="7" width="15.7109375" style="100" customWidth="1"/>
    <col min="8" max="8" width="10.42578125" style="100" customWidth="1"/>
    <col min="9" max="9" width="10.7109375" style="91" hidden="1" customWidth="1"/>
    <col min="10" max="10" width="11.5703125" style="91" hidden="1" customWidth="1"/>
    <col min="11" max="11" width="14" style="91" hidden="1" customWidth="1"/>
    <col min="12" max="12" width="13" style="91" hidden="1" customWidth="1"/>
    <col min="13" max="13" width="18.140625" style="91" hidden="1" customWidth="1"/>
    <col min="14" max="14" width="16.140625" style="91" hidden="1" customWidth="1"/>
    <col min="15" max="15" width="14.42578125" style="91" hidden="1" customWidth="1"/>
    <col min="16" max="16384" width="9.140625" style="91"/>
  </cols>
  <sheetData>
    <row r="1" spans="1:15" x14ac:dyDescent="0.25">
      <c r="A1" s="261"/>
      <c r="B1" s="264" t="s">
        <v>141</v>
      </c>
      <c r="C1" s="265"/>
      <c r="D1" s="103"/>
      <c r="E1" s="104"/>
      <c r="F1" s="104"/>
      <c r="G1" s="104"/>
      <c r="H1" s="104"/>
      <c r="I1" s="105"/>
      <c r="J1" s="105"/>
      <c r="K1" s="105"/>
      <c r="L1" s="105"/>
      <c r="M1" s="105"/>
      <c r="N1" s="105"/>
      <c r="O1" s="106"/>
    </row>
    <row r="2" spans="1:15" ht="15.75" x14ac:dyDescent="0.25">
      <c r="A2" s="273"/>
      <c r="B2" s="266" t="s">
        <v>236</v>
      </c>
      <c r="C2" s="267"/>
      <c r="D2" s="11"/>
      <c r="E2" s="11"/>
      <c r="F2" s="11"/>
      <c r="G2" s="11"/>
      <c r="H2" s="11"/>
      <c r="I2" s="90"/>
      <c r="J2" s="90"/>
      <c r="K2" s="90"/>
      <c r="L2" s="90"/>
      <c r="M2" s="90"/>
      <c r="N2" s="90"/>
      <c r="O2" s="108"/>
    </row>
    <row r="3" spans="1:15" ht="15.75" x14ac:dyDescent="0.25">
      <c r="A3" s="274"/>
      <c r="B3" s="268" t="s">
        <v>238</v>
      </c>
      <c r="C3" s="269"/>
      <c r="D3" s="112"/>
      <c r="E3" s="112"/>
      <c r="F3" s="112"/>
      <c r="G3" s="112"/>
      <c r="H3" s="112"/>
      <c r="I3" s="113"/>
      <c r="J3" s="113"/>
      <c r="K3" s="113"/>
      <c r="L3" s="113"/>
      <c r="M3" s="113"/>
      <c r="N3" s="113"/>
      <c r="O3" s="114"/>
    </row>
    <row r="4" spans="1:15" s="92" customFormat="1" ht="35.25" customHeight="1" x14ac:dyDescent="0.2">
      <c r="A4" s="56" t="s">
        <v>143</v>
      </c>
      <c r="B4" s="57" t="s">
        <v>144</v>
      </c>
      <c r="C4" s="39" t="s">
        <v>140</v>
      </c>
      <c r="D4" s="38" t="s">
        <v>163</v>
      </c>
      <c r="E4" s="39" t="s">
        <v>146</v>
      </c>
      <c r="F4" s="39" t="s">
        <v>207</v>
      </c>
      <c r="G4" s="39" t="s">
        <v>165</v>
      </c>
      <c r="H4" s="39" t="s">
        <v>212</v>
      </c>
      <c r="I4" s="39" t="s">
        <v>147</v>
      </c>
      <c r="J4" s="39" t="s">
        <v>213</v>
      </c>
      <c r="K4" s="39" t="s">
        <v>214</v>
      </c>
      <c r="L4" s="361" t="s">
        <v>252</v>
      </c>
      <c r="M4" s="361" t="s">
        <v>256</v>
      </c>
      <c r="N4" s="407" t="s">
        <v>214</v>
      </c>
      <c r="O4" s="70" t="s">
        <v>256</v>
      </c>
    </row>
    <row r="5" spans="1:15" ht="16.5" customHeight="1" x14ac:dyDescent="0.25">
      <c r="A5" s="120">
        <v>0.65</v>
      </c>
      <c r="B5" s="73" t="s">
        <v>1</v>
      </c>
      <c r="C5" s="72">
        <v>2488.71</v>
      </c>
      <c r="D5" s="123">
        <v>0</v>
      </c>
      <c r="E5" s="122">
        <f>C5-D5</f>
        <v>2488.71</v>
      </c>
      <c r="F5" s="122">
        <f>C5/3</f>
        <v>829.57</v>
      </c>
      <c r="G5" s="122">
        <f>E5+F5</f>
        <v>3318.28</v>
      </c>
      <c r="H5" s="122">
        <f>SUM(C5+F5)*8%</f>
        <v>265.4624</v>
      </c>
      <c r="I5" s="76"/>
      <c r="J5" s="124">
        <v>44597</v>
      </c>
      <c r="K5" s="240">
        <v>0</v>
      </c>
      <c r="L5" s="359">
        <v>4.5499999999999999E-2</v>
      </c>
      <c r="M5" s="124">
        <v>44530</v>
      </c>
      <c r="N5" s="240">
        <f>M5-J5</f>
        <v>-67</v>
      </c>
      <c r="O5" s="122">
        <f>G5*L5</f>
        <v>150.98174</v>
      </c>
    </row>
    <row r="6" spans="1:15" ht="16.5" customHeight="1" x14ac:dyDescent="0.25">
      <c r="A6" s="120">
        <v>0.65</v>
      </c>
      <c r="B6" s="73" t="s">
        <v>2</v>
      </c>
      <c r="C6" s="72">
        <v>2105.56</v>
      </c>
      <c r="D6" s="123">
        <v>1000</v>
      </c>
      <c r="E6" s="122">
        <v>0</v>
      </c>
      <c r="F6" s="122">
        <f t="shared" ref="F6:F18" si="0">C6/3</f>
        <v>701.85333333333335</v>
      </c>
      <c r="G6" s="122">
        <f t="shared" ref="G6:G18" si="1">E6+F6</f>
        <v>701.85333333333335</v>
      </c>
      <c r="H6" s="122">
        <f t="shared" ref="H6:H18" si="2">SUM(C6+F6)*8%</f>
        <v>224.59306666666669</v>
      </c>
      <c r="I6" s="76">
        <v>44617</v>
      </c>
      <c r="J6" s="124">
        <v>44597</v>
      </c>
      <c r="K6" s="240">
        <f t="shared" ref="K6:K69" si="3">I6-J6</f>
        <v>20</v>
      </c>
      <c r="L6" s="359">
        <v>4.5499999999999999E-2</v>
      </c>
      <c r="M6" s="124">
        <v>44530</v>
      </c>
      <c r="N6" s="240">
        <f t="shared" ref="N6:N18" si="4">M6-J6</f>
        <v>-67</v>
      </c>
      <c r="O6" s="122">
        <f t="shared" ref="O6:O69" si="5">G6*L6</f>
        <v>31.934326666666667</v>
      </c>
    </row>
    <row r="7" spans="1:15" ht="16.5" customHeight="1" x14ac:dyDescent="0.25">
      <c r="A7" s="120">
        <v>0.65</v>
      </c>
      <c r="B7" s="73" t="s">
        <v>2</v>
      </c>
      <c r="C7" s="72">
        <v>0</v>
      </c>
      <c r="D7" s="123">
        <v>368.61</v>
      </c>
      <c r="E7" s="122">
        <f>C6-D6-D7</f>
        <v>736.94999999999993</v>
      </c>
      <c r="F7" s="122">
        <f t="shared" si="0"/>
        <v>0</v>
      </c>
      <c r="G7" s="122">
        <f t="shared" si="1"/>
        <v>736.94999999999993</v>
      </c>
      <c r="H7" s="122">
        <f t="shared" si="2"/>
        <v>0</v>
      </c>
      <c r="I7" s="76">
        <v>44623</v>
      </c>
      <c r="J7" s="124">
        <v>44597</v>
      </c>
      <c r="K7" s="240">
        <f t="shared" si="3"/>
        <v>26</v>
      </c>
      <c r="L7" s="359">
        <v>4.5499999999999999E-2</v>
      </c>
      <c r="M7" s="124">
        <v>44530</v>
      </c>
      <c r="N7" s="240">
        <f t="shared" si="4"/>
        <v>-67</v>
      </c>
      <c r="O7" s="122">
        <f t="shared" si="5"/>
        <v>33.531224999999999</v>
      </c>
    </row>
    <row r="8" spans="1:15" ht="16.5" customHeight="1" x14ac:dyDescent="0.25">
      <c r="A8" s="120">
        <v>0.65</v>
      </c>
      <c r="B8" s="73" t="s">
        <v>3</v>
      </c>
      <c r="C8" s="72">
        <v>2714.03</v>
      </c>
      <c r="D8" s="123">
        <v>1000</v>
      </c>
      <c r="E8" s="122">
        <v>0</v>
      </c>
      <c r="F8" s="122">
        <f t="shared" si="0"/>
        <v>904.67666666666673</v>
      </c>
      <c r="G8" s="122">
        <f t="shared" si="1"/>
        <v>904.67666666666673</v>
      </c>
      <c r="H8" s="122">
        <f t="shared" si="2"/>
        <v>289.49653333333339</v>
      </c>
      <c r="I8" s="311">
        <v>44617</v>
      </c>
      <c r="J8" s="124">
        <v>44597</v>
      </c>
      <c r="K8" s="240">
        <f t="shared" si="3"/>
        <v>20</v>
      </c>
      <c r="L8" s="359">
        <v>4.5499999999999999E-2</v>
      </c>
      <c r="M8" s="124">
        <v>44530</v>
      </c>
      <c r="N8" s="240">
        <f t="shared" si="4"/>
        <v>-67</v>
      </c>
      <c r="O8" s="122">
        <f t="shared" si="5"/>
        <v>41.162788333333339</v>
      </c>
    </row>
    <row r="9" spans="1:15" ht="16.5" customHeight="1" x14ac:dyDescent="0.25">
      <c r="A9" s="120">
        <v>0.65</v>
      </c>
      <c r="B9" s="73" t="s">
        <v>3</v>
      </c>
      <c r="C9" s="72">
        <v>0</v>
      </c>
      <c r="D9" s="123">
        <v>764.12</v>
      </c>
      <c r="E9" s="122">
        <f>C8-D8-D9</f>
        <v>949.9100000000002</v>
      </c>
      <c r="F9" s="122">
        <f t="shared" si="0"/>
        <v>0</v>
      </c>
      <c r="G9" s="122">
        <f t="shared" si="1"/>
        <v>949.9100000000002</v>
      </c>
      <c r="H9" s="122">
        <f t="shared" si="2"/>
        <v>0</v>
      </c>
      <c r="I9" s="311">
        <v>44623</v>
      </c>
      <c r="J9" s="124">
        <v>44597</v>
      </c>
      <c r="K9" s="240">
        <f t="shared" si="3"/>
        <v>26</v>
      </c>
      <c r="L9" s="359">
        <v>4.5499999999999999E-2</v>
      </c>
      <c r="M9" s="124">
        <v>44530</v>
      </c>
      <c r="N9" s="240">
        <f t="shared" si="4"/>
        <v>-67</v>
      </c>
      <c r="O9" s="122">
        <f t="shared" si="5"/>
        <v>43.220905000000009</v>
      </c>
    </row>
    <row r="10" spans="1:15" ht="16.5" customHeight="1" x14ac:dyDescent="0.25">
      <c r="A10" s="120">
        <v>0.65</v>
      </c>
      <c r="B10" s="73" t="s">
        <v>5</v>
      </c>
      <c r="C10" s="72">
        <v>8625.2999999999993</v>
      </c>
      <c r="D10" s="123">
        <v>1000</v>
      </c>
      <c r="E10" s="122">
        <f t="shared" ref="E10:E61" si="6">C10-D10</f>
        <v>7625.2999999999993</v>
      </c>
      <c r="F10" s="122">
        <f t="shared" si="0"/>
        <v>2875.1</v>
      </c>
      <c r="G10" s="122">
        <f t="shared" si="1"/>
        <v>10500.4</v>
      </c>
      <c r="H10" s="122">
        <f t="shared" si="2"/>
        <v>920.03200000000004</v>
      </c>
      <c r="I10" s="311">
        <v>44617</v>
      </c>
      <c r="J10" s="124">
        <v>44597</v>
      </c>
      <c r="K10" s="240">
        <f t="shared" si="3"/>
        <v>20</v>
      </c>
      <c r="L10" s="359">
        <v>4.5499999999999999E-2</v>
      </c>
      <c r="M10" s="124">
        <v>44530</v>
      </c>
      <c r="N10" s="240">
        <f t="shared" si="4"/>
        <v>-67</v>
      </c>
      <c r="O10" s="122">
        <f t="shared" si="5"/>
        <v>477.76819999999998</v>
      </c>
    </row>
    <row r="11" spans="1:15" ht="16.5" customHeight="1" x14ac:dyDescent="0.25">
      <c r="A11" s="120">
        <v>0.65</v>
      </c>
      <c r="B11" s="73" t="s">
        <v>6</v>
      </c>
      <c r="C11" s="72">
        <v>3681.43</v>
      </c>
      <c r="D11" s="123">
        <v>1000</v>
      </c>
      <c r="E11" s="122">
        <f t="shared" si="6"/>
        <v>2681.43</v>
      </c>
      <c r="F11" s="122">
        <f t="shared" si="0"/>
        <v>1227.1433333333332</v>
      </c>
      <c r="G11" s="122">
        <f t="shared" si="1"/>
        <v>3908.5733333333328</v>
      </c>
      <c r="H11" s="122">
        <f t="shared" si="2"/>
        <v>392.68586666666664</v>
      </c>
      <c r="I11" s="76">
        <v>44617</v>
      </c>
      <c r="J11" s="124">
        <v>44597</v>
      </c>
      <c r="K11" s="240">
        <f t="shared" si="3"/>
        <v>20</v>
      </c>
      <c r="L11" s="359">
        <v>4.5499999999999999E-2</v>
      </c>
      <c r="M11" s="124">
        <v>44530</v>
      </c>
      <c r="N11" s="240">
        <f t="shared" si="4"/>
        <v>-67</v>
      </c>
      <c r="O11" s="122">
        <f t="shared" si="5"/>
        <v>177.84008666666665</v>
      </c>
    </row>
    <row r="12" spans="1:15" ht="16.5" customHeight="1" x14ac:dyDescent="0.25">
      <c r="A12" s="120">
        <v>0.65</v>
      </c>
      <c r="B12" s="73" t="s">
        <v>7</v>
      </c>
      <c r="C12" s="72">
        <v>2535.04</v>
      </c>
      <c r="D12" s="123">
        <v>1000</v>
      </c>
      <c r="E12" s="122">
        <f t="shared" si="6"/>
        <v>1535.04</v>
      </c>
      <c r="F12" s="122">
        <f t="shared" si="0"/>
        <v>845.01333333333332</v>
      </c>
      <c r="G12" s="122">
        <f t="shared" si="1"/>
        <v>2380.0533333333333</v>
      </c>
      <c r="H12" s="122">
        <f t="shared" si="2"/>
        <v>270.40426666666667</v>
      </c>
      <c r="I12" s="76">
        <v>44623</v>
      </c>
      <c r="J12" s="124">
        <v>44597</v>
      </c>
      <c r="K12" s="240">
        <f t="shared" si="3"/>
        <v>26</v>
      </c>
      <c r="L12" s="359">
        <v>4.5499999999999999E-2</v>
      </c>
      <c r="M12" s="124">
        <v>44530</v>
      </c>
      <c r="N12" s="240">
        <f t="shared" si="4"/>
        <v>-67</v>
      </c>
      <c r="O12" s="122">
        <f t="shared" si="5"/>
        <v>108.29242666666666</v>
      </c>
    </row>
    <row r="13" spans="1:15" ht="16.5" customHeight="1" x14ac:dyDescent="0.25">
      <c r="A13" s="120">
        <v>0.65</v>
      </c>
      <c r="B13" s="73" t="s">
        <v>8</v>
      </c>
      <c r="C13" s="72">
        <v>8201.3700000000008</v>
      </c>
      <c r="D13" s="123">
        <v>0</v>
      </c>
      <c r="E13" s="122">
        <f t="shared" si="6"/>
        <v>8201.3700000000008</v>
      </c>
      <c r="F13" s="122">
        <f t="shared" si="0"/>
        <v>2733.7900000000004</v>
      </c>
      <c r="G13" s="122">
        <f t="shared" si="1"/>
        <v>10935.160000000002</v>
      </c>
      <c r="H13" s="122">
        <f t="shared" si="2"/>
        <v>874.81280000000015</v>
      </c>
      <c r="I13" s="76"/>
      <c r="J13" s="124">
        <v>44597</v>
      </c>
      <c r="K13" s="240">
        <v>0</v>
      </c>
      <c r="L13" s="359">
        <v>4.5499999999999999E-2</v>
      </c>
      <c r="M13" s="124">
        <v>44530</v>
      </c>
      <c r="N13" s="240">
        <f t="shared" si="4"/>
        <v>-67</v>
      </c>
      <c r="O13" s="122">
        <f t="shared" si="5"/>
        <v>497.54978000000006</v>
      </c>
    </row>
    <row r="14" spans="1:15" ht="16.5" customHeight="1" x14ac:dyDescent="0.25">
      <c r="A14" s="120">
        <v>0.65</v>
      </c>
      <c r="B14" s="73" t="s">
        <v>9</v>
      </c>
      <c r="C14" s="72">
        <v>4194.63</v>
      </c>
      <c r="D14" s="123">
        <v>0</v>
      </c>
      <c r="E14" s="122">
        <f t="shared" si="6"/>
        <v>4194.63</v>
      </c>
      <c r="F14" s="122">
        <f t="shared" si="0"/>
        <v>1398.21</v>
      </c>
      <c r="G14" s="122">
        <f t="shared" si="1"/>
        <v>5592.84</v>
      </c>
      <c r="H14" s="122">
        <f t="shared" si="2"/>
        <v>447.42720000000003</v>
      </c>
      <c r="I14" s="76"/>
      <c r="J14" s="124">
        <v>44597</v>
      </c>
      <c r="K14" s="240">
        <v>0</v>
      </c>
      <c r="L14" s="359">
        <v>4.5499999999999999E-2</v>
      </c>
      <c r="M14" s="124">
        <v>44530</v>
      </c>
      <c r="N14" s="240">
        <f t="shared" si="4"/>
        <v>-67</v>
      </c>
      <c r="O14" s="122">
        <f t="shared" si="5"/>
        <v>254.47422</v>
      </c>
    </row>
    <row r="15" spans="1:15" ht="16.5" customHeight="1" x14ac:dyDescent="0.25">
      <c r="A15" s="120">
        <v>0.65</v>
      </c>
      <c r="B15" s="73" t="s">
        <v>11</v>
      </c>
      <c r="C15" s="72">
        <v>2600.17</v>
      </c>
      <c r="D15" s="123">
        <v>0</v>
      </c>
      <c r="E15" s="122">
        <f t="shared" si="6"/>
        <v>2600.17</v>
      </c>
      <c r="F15" s="122">
        <f t="shared" si="0"/>
        <v>866.72333333333336</v>
      </c>
      <c r="G15" s="122">
        <f t="shared" si="1"/>
        <v>3466.8933333333334</v>
      </c>
      <c r="H15" s="122">
        <f t="shared" si="2"/>
        <v>277.35146666666668</v>
      </c>
      <c r="I15" s="76"/>
      <c r="J15" s="124">
        <v>44597</v>
      </c>
      <c r="K15" s="240">
        <v>0</v>
      </c>
      <c r="L15" s="359">
        <v>4.5499999999999999E-2</v>
      </c>
      <c r="M15" s="124">
        <v>44530</v>
      </c>
      <c r="N15" s="240">
        <f t="shared" si="4"/>
        <v>-67</v>
      </c>
      <c r="O15" s="122">
        <f t="shared" si="5"/>
        <v>157.74364666666668</v>
      </c>
    </row>
    <row r="16" spans="1:15" ht="16.5" customHeight="1" x14ac:dyDescent="0.25">
      <c r="A16" s="120">
        <v>0.65</v>
      </c>
      <c r="B16" s="73" t="s">
        <v>12</v>
      </c>
      <c r="C16" s="72">
        <v>1316.64</v>
      </c>
      <c r="D16" s="123">
        <v>0</v>
      </c>
      <c r="E16" s="122">
        <f>C16</f>
        <v>1316.64</v>
      </c>
      <c r="F16" s="122">
        <f t="shared" si="0"/>
        <v>438.88000000000005</v>
      </c>
      <c r="G16" s="122">
        <f t="shared" si="1"/>
        <v>1755.5200000000002</v>
      </c>
      <c r="H16" s="122">
        <f t="shared" si="2"/>
        <v>140.44160000000002</v>
      </c>
      <c r="I16" s="76"/>
      <c r="J16" s="124">
        <v>44597</v>
      </c>
      <c r="K16" s="240">
        <v>0</v>
      </c>
      <c r="L16" s="359">
        <v>4.5499999999999999E-2</v>
      </c>
      <c r="M16" s="124">
        <v>44530</v>
      </c>
      <c r="N16" s="240">
        <f t="shared" si="4"/>
        <v>-67</v>
      </c>
      <c r="O16" s="122">
        <f t="shared" si="5"/>
        <v>79.876160000000013</v>
      </c>
    </row>
    <row r="17" spans="1:15" ht="16.5" customHeight="1" x14ac:dyDescent="0.25">
      <c r="A17" s="120">
        <v>0.65</v>
      </c>
      <c r="B17" s="73" t="s">
        <v>13</v>
      </c>
      <c r="C17" s="72">
        <v>1769.34</v>
      </c>
      <c r="D17" s="123">
        <v>0</v>
      </c>
      <c r="E17" s="122">
        <f>C17-D17</f>
        <v>1769.34</v>
      </c>
      <c r="F17" s="122">
        <f t="shared" si="0"/>
        <v>589.78</v>
      </c>
      <c r="G17" s="122">
        <f t="shared" si="1"/>
        <v>2359.12</v>
      </c>
      <c r="H17" s="122">
        <f t="shared" si="2"/>
        <v>188.7296</v>
      </c>
      <c r="I17" s="76"/>
      <c r="J17" s="124">
        <v>44597</v>
      </c>
      <c r="K17" s="240">
        <v>0</v>
      </c>
      <c r="L17" s="359">
        <v>4.5499999999999999E-2</v>
      </c>
      <c r="M17" s="124">
        <v>44530</v>
      </c>
      <c r="N17" s="240">
        <f t="shared" si="4"/>
        <v>-67</v>
      </c>
      <c r="O17" s="122">
        <f t="shared" si="5"/>
        <v>107.33995999999999</v>
      </c>
    </row>
    <row r="18" spans="1:15" ht="16.5" customHeight="1" x14ac:dyDescent="0.25">
      <c r="A18" s="120">
        <v>0.65</v>
      </c>
      <c r="B18" s="73" t="s">
        <v>104</v>
      </c>
      <c r="C18" s="72">
        <v>2295.15</v>
      </c>
      <c r="D18" s="123">
        <v>1491.85</v>
      </c>
      <c r="E18" s="122">
        <f t="shared" si="6"/>
        <v>803.30000000000018</v>
      </c>
      <c r="F18" s="122">
        <f t="shared" si="0"/>
        <v>765.05000000000007</v>
      </c>
      <c r="G18" s="122">
        <f t="shared" si="1"/>
        <v>1568.3500000000004</v>
      </c>
      <c r="H18" s="122">
        <f t="shared" si="2"/>
        <v>244.81600000000003</v>
      </c>
      <c r="I18" s="76">
        <v>44623</v>
      </c>
      <c r="J18" s="124">
        <v>44597</v>
      </c>
      <c r="K18" s="240">
        <f t="shared" si="3"/>
        <v>26</v>
      </c>
      <c r="L18" s="359">
        <v>4.5499999999999999E-2</v>
      </c>
      <c r="M18" s="124">
        <v>44530</v>
      </c>
      <c r="N18" s="240">
        <f t="shared" si="4"/>
        <v>-67</v>
      </c>
      <c r="O18" s="122">
        <f t="shared" si="5"/>
        <v>71.359925000000018</v>
      </c>
    </row>
    <row r="19" spans="1:15" ht="16.5" customHeight="1" x14ac:dyDescent="0.25">
      <c r="A19" s="129"/>
      <c r="B19" s="338" t="s">
        <v>156</v>
      </c>
      <c r="C19" s="338">
        <f>SUM(C5:C18)</f>
        <v>42527.369999999995</v>
      </c>
      <c r="D19" s="48">
        <f>SUM(D5:D18)</f>
        <v>7624.58</v>
      </c>
      <c r="E19" s="48">
        <f>SUM(E5:E18)</f>
        <v>34902.79</v>
      </c>
      <c r="F19" s="48">
        <f>SUM(F5:F18)</f>
        <v>14175.789999999999</v>
      </c>
      <c r="G19" s="48">
        <f t="shared" ref="G19:G67" si="7">E19+F19</f>
        <v>49078.58</v>
      </c>
      <c r="H19" s="48">
        <f>SUM(H5:H18)</f>
        <v>4536.2528000000002</v>
      </c>
      <c r="I19" s="339"/>
      <c r="J19" s="130"/>
      <c r="K19" s="242">
        <f t="shared" si="3"/>
        <v>0</v>
      </c>
      <c r="L19" s="396"/>
      <c r="M19" s="131"/>
      <c r="N19" s="131"/>
      <c r="O19" s="49">
        <f>SUM(O5:O18)</f>
        <v>2233.07539</v>
      </c>
    </row>
    <row r="20" spans="1:15" ht="16.5" customHeight="1" x14ac:dyDescent="0.25">
      <c r="A20" s="120">
        <v>0.8</v>
      </c>
      <c r="B20" s="73" t="s">
        <v>19</v>
      </c>
      <c r="C20" s="72">
        <v>2744.96</v>
      </c>
      <c r="D20" s="70">
        <v>1000</v>
      </c>
      <c r="E20" s="122">
        <f t="shared" si="6"/>
        <v>1744.96</v>
      </c>
      <c r="F20" s="122">
        <f t="shared" ref="F20:F69" si="8">C20/3</f>
        <v>914.98666666666668</v>
      </c>
      <c r="G20" s="122">
        <f t="shared" si="7"/>
        <v>2659.9466666666667</v>
      </c>
      <c r="H20" s="122">
        <f>SUM(C20+F20)*8%</f>
        <v>292.79573333333332</v>
      </c>
      <c r="I20" s="76">
        <v>44617</v>
      </c>
      <c r="J20" s="124">
        <f>J18</f>
        <v>44597</v>
      </c>
      <c r="K20" s="240">
        <f t="shared" si="3"/>
        <v>20</v>
      </c>
      <c r="L20" s="359">
        <v>4.5499999999999999E-2</v>
      </c>
      <c r="M20" s="127" t="e">
        <f>#REF!</f>
        <v>#REF!</v>
      </c>
      <c r="N20" s="241" t="e">
        <f>M20-J20</f>
        <v>#REF!</v>
      </c>
      <c r="O20" s="122">
        <f t="shared" si="5"/>
        <v>121.02757333333334</v>
      </c>
    </row>
    <row r="21" spans="1:15" ht="16.5" customHeight="1" x14ac:dyDescent="0.25">
      <c r="A21" s="120">
        <v>0.8</v>
      </c>
      <c r="B21" s="73" t="s">
        <v>20</v>
      </c>
      <c r="C21" s="72">
        <v>2924.49</v>
      </c>
      <c r="D21" s="70">
        <v>0</v>
      </c>
      <c r="E21" s="122">
        <f>C21-D21</f>
        <v>2924.49</v>
      </c>
      <c r="F21" s="122">
        <f t="shared" si="8"/>
        <v>974.82999999999993</v>
      </c>
      <c r="G21" s="122">
        <f t="shared" si="7"/>
        <v>3899.3199999999997</v>
      </c>
      <c r="H21" s="122">
        <f t="shared" ref="H21:H35" si="9">SUM(C21+F21)*8%</f>
        <v>311.94559999999996</v>
      </c>
      <c r="I21" s="311"/>
      <c r="J21" s="124">
        <f>J20</f>
        <v>44597</v>
      </c>
      <c r="K21" s="240">
        <v>0</v>
      </c>
      <c r="L21" s="359">
        <v>4.5499999999999999E-2</v>
      </c>
      <c r="M21" s="127" t="e">
        <f>M20</f>
        <v>#REF!</v>
      </c>
      <c r="N21" s="241" t="e">
        <f t="shared" ref="N21:N35" si="10">M21-J21</f>
        <v>#REF!</v>
      </c>
      <c r="O21" s="122">
        <f t="shared" si="5"/>
        <v>177.41905999999997</v>
      </c>
    </row>
    <row r="22" spans="1:15" ht="16.5" customHeight="1" x14ac:dyDescent="0.25">
      <c r="A22" s="120">
        <v>0.8</v>
      </c>
      <c r="B22" s="73" t="s">
        <v>21</v>
      </c>
      <c r="C22" s="72">
        <v>434.88</v>
      </c>
      <c r="D22" s="70">
        <f t="shared" ref="D22:D35" si="11">ROUND(C22*A22,2)</f>
        <v>347.9</v>
      </c>
      <c r="E22" s="122">
        <f t="shared" si="6"/>
        <v>86.980000000000018</v>
      </c>
      <c r="F22" s="122">
        <f t="shared" si="8"/>
        <v>144.96</v>
      </c>
      <c r="G22" s="122">
        <f t="shared" si="7"/>
        <v>231.94000000000003</v>
      </c>
      <c r="H22" s="122">
        <f t="shared" si="9"/>
        <v>46.3872</v>
      </c>
      <c r="I22" s="311">
        <v>44617</v>
      </c>
      <c r="J22" s="124">
        <f t="shared" ref="J22:J35" si="12">J21</f>
        <v>44597</v>
      </c>
      <c r="K22" s="240">
        <f t="shared" si="3"/>
        <v>20</v>
      </c>
      <c r="L22" s="359">
        <v>4.5499999999999999E-2</v>
      </c>
      <c r="M22" s="127" t="e">
        <f t="shared" ref="M22:M35" si="13">M21</f>
        <v>#REF!</v>
      </c>
      <c r="N22" s="241" t="e">
        <f t="shared" si="10"/>
        <v>#REF!</v>
      </c>
      <c r="O22" s="122">
        <f t="shared" si="5"/>
        <v>10.553270000000001</v>
      </c>
    </row>
    <row r="23" spans="1:15" ht="16.5" customHeight="1" x14ac:dyDescent="0.25">
      <c r="A23" s="120">
        <v>0.8</v>
      </c>
      <c r="B23" s="73" t="s">
        <v>22</v>
      </c>
      <c r="C23" s="72">
        <v>3724.99</v>
      </c>
      <c r="D23" s="70">
        <v>1000</v>
      </c>
      <c r="E23" s="122">
        <f>C23-D23</f>
        <v>2724.99</v>
      </c>
      <c r="F23" s="122">
        <f t="shared" si="8"/>
        <v>1241.6633333333332</v>
      </c>
      <c r="G23" s="122">
        <f t="shared" si="7"/>
        <v>3966.6533333333327</v>
      </c>
      <c r="H23" s="122">
        <f t="shared" si="9"/>
        <v>397.33226666666661</v>
      </c>
      <c r="I23" s="311">
        <v>44617</v>
      </c>
      <c r="J23" s="124">
        <f t="shared" si="12"/>
        <v>44597</v>
      </c>
      <c r="K23" s="240">
        <f t="shared" si="3"/>
        <v>20</v>
      </c>
      <c r="L23" s="359">
        <v>4.5499999999999999E-2</v>
      </c>
      <c r="M23" s="127" t="e">
        <f t="shared" si="13"/>
        <v>#REF!</v>
      </c>
      <c r="N23" s="241" t="e">
        <f t="shared" si="10"/>
        <v>#REF!</v>
      </c>
      <c r="O23" s="122">
        <f t="shared" si="5"/>
        <v>180.48272666666662</v>
      </c>
    </row>
    <row r="24" spans="1:15" ht="16.5" customHeight="1" x14ac:dyDescent="0.25">
      <c r="A24" s="120">
        <v>0.8</v>
      </c>
      <c r="B24" s="73" t="s">
        <v>23</v>
      </c>
      <c r="C24" s="72">
        <v>4265.38</v>
      </c>
      <c r="D24" s="70">
        <v>1000</v>
      </c>
      <c r="E24" s="122">
        <f t="shared" si="6"/>
        <v>3265.38</v>
      </c>
      <c r="F24" s="122">
        <f t="shared" si="8"/>
        <v>1421.7933333333333</v>
      </c>
      <c r="G24" s="122">
        <f t="shared" si="7"/>
        <v>4687.1733333333332</v>
      </c>
      <c r="H24" s="122">
        <f t="shared" si="9"/>
        <v>454.97386666666665</v>
      </c>
      <c r="I24" s="311">
        <v>44623</v>
      </c>
      <c r="J24" s="124">
        <f t="shared" si="12"/>
        <v>44597</v>
      </c>
      <c r="K24" s="240">
        <f t="shared" si="3"/>
        <v>26</v>
      </c>
      <c r="L24" s="359">
        <v>4.5499999999999999E-2</v>
      </c>
      <c r="M24" s="127" t="e">
        <f t="shared" si="13"/>
        <v>#REF!</v>
      </c>
      <c r="N24" s="241" t="e">
        <f t="shared" si="10"/>
        <v>#REF!</v>
      </c>
      <c r="O24" s="122">
        <f t="shared" si="5"/>
        <v>213.26638666666665</v>
      </c>
    </row>
    <row r="25" spans="1:15" ht="16.5" customHeight="1" x14ac:dyDescent="0.25">
      <c r="A25" s="120">
        <v>0.8</v>
      </c>
      <c r="B25" s="73" t="s">
        <v>24</v>
      </c>
      <c r="C25" s="72">
        <v>823.03</v>
      </c>
      <c r="D25" s="70">
        <f t="shared" si="11"/>
        <v>658.42</v>
      </c>
      <c r="E25" s="122">
        <f t="shared" si="6"/>
        <v>164.61</v>
      </c>
      <c r="F25" s="122">
        <f t="shared" si="8"/>
        <v>274.34333333333331</v>
      </c>
      <c r="G25" s="122">
        <f t="shared" si="7"/>
        <v>438.95333333333332</v>
      </c>
      <c r="H25" s="122">
        <f t="shared" si="9"/>
        <v>87.789866666666654</v>
      </c>
      <c r="I25" s="311">
        <v>44623</v>
      </c>
      <c r="J25" s="124">
        <f t="shared" si="12"/>
        <v>44597</v>
      </c>
      <c r="K25" s="240">
        <f t="shared" si="3"/>
        <v>26</v>
      </c>
      <c r="L25" s="359">
        <v>4.5499999999999999E-2</v>
      </c>
      <c r="M25" s="127" t="e">
        <f t="shared" si="13"/>
        <v>#REF!</v>
      </c>
      <c r="N25" s="241" t="e">
        <f t="shared" si="10"/>
        <v>#REF!</v>
      </c>
      <c r="O25" s="122">
        <f t="shared" si="5"/>
        <v>19.972376666666666</v>
      </c>
    </row>
    <row r="26" spans="1:15" ht="16.5" customHeight="1" x14ac:dyDescent="0.25">
      <c r="A26" s="120">
        <v>0.8</v>
      </c>
      <c r="B26" s="73" t="s">
        <v>25</v>
      </c>
      <c r="C26" s="72">
        <v>8038.94</v>
      </c>
      <c r="D26" s="70">
        <v>1000</v>
      </c>
      <c r="E26" s="122"/>
      <c r="F26" s="122">
        <f t="shared" si="8"/>
        <v>2679.6466666666665</v>
      </c>
      <c r="G26" s="122">
        <f t="shared" si="7"/>
        <v>2679.6466666666665</v>
      </c>
      <c r="H26" s="122">
        <f t="shared" si="9"/>
        <v>857.48693333333335</v>
      </c>
      <c r="I26" s="311">
        <v>44617</v>
      </c>
      <c r="J26" s="124">
        <f t="shared" si="12"/>
        <v>44597</v>
      </c>
      <c r="K26" s="240">
        <f t="shared" si="3"/>
        <v>20</v>
      </c>
      <c r="L26" s="359">
        <v>4.5499999999999999E-2</v>
      </c>
      <c r="M26" s="127" t="e">
        <f t="shared" si="13"/>
        <v>#REF!</v>
      </c>
      <c r="N26" s="241" t="e">
        <f t="shared" si="10"/>
        <v>#REF!</v>
      </c>
      <c r="O26" s="122">
        <f t="shared" si="5"/>
        <v>121.92392333333332</v>
      </c>
    </row>
    <row r="27" spans="1:15" ht="16.5" customHeight="1" x14ac:dyDescent="0.25">
      <c r="A27" s="120">
        <v>0.8</v>
      </c>
      <c r="B27" s="73" t="s">
        <v>25</v>
      </c>
      <c r="C27" s="72">
        <v>0</v>
      </c>
      <c r="D27" s="70">
        <v>1000</v>
      </c>
      <c r="E27" s="122">
        <f>C26-D26-D27</f>
        <v>6038.94</v>
      </c>
      <c r="F27" s="122">
        <f t="shared" si="8"/>
        <v>0</v>
      </c>
      <c r="G27" s="122">
        <f t="shared" si="7"/>
        <v>6038.94</v>
      </c>
      <c r="H27" s="122">
        <f t="shared" si="9"/>
        <v>0</v>
      </c>
      <c r="I27" s="311">
        <v>44623</v>
      </c>
      <c r="J27" s="124">
        <f t="shared" si="12"/>
        <v>44597</v>
      </c>
      <c r="K27" s="240">
        <f t="shared" si="3"/>
        <v>26</v>
      </c>
      <c r="L27" s="359">
        <v>4.5499999999999999E-2</v>
      </c>
      <c r="M27" s="127" t="e">
        <f t="shared" si="13"/>
        <v>#REF!</v>
      </c>
      <c r="N27" s="241" t="e">
        <f t="shared" si="10"/>
        <v>#REF!</v>
      </c>
      <c r="O27" s="122">
        <f t="shared" si="5"/>
        <v>274.77176999999995</v>
      </c>
    </row>
    <row r="28" spans="1:15" ht="16.5" customHeight="1" x14ac:dyDescent="0.25">
      <c r="A28" s="120">
        <v>0.8</v>
      </c>
      <c r="B28" s="73" t="s">
        <v>60</v>
      </c>
      <c r="C28" s="72">
        <v>284.58999999999997</v>
      </c>
      <c r="D28" s="70">
        <f t="shared" si="11"/>
        <v>227.67</v>
      </c>
      <c r="E28" s="122">
        <f t="shared" si="6"/>
        <v>56.919999999999987</v>
      </c>
      <c r="F28" s="122">
        <f t="shared" si="8"/>
        <v>94.86333333333333</v>
      </c>
      <c r="G28" s="122">
        <f t="shared" si="7"/>
        <v>151.7833333333333</v>
      </c>
      <c r="H28" s="122">
        <f t="shared" si="9"/>
        <v>30.356266666666667</v>
      </c>
      <c r="I28" s="311">
        <v>44617</v>
      </c>
      <c r="J28" s="124">
        <f t="shared" si="12"/>
        <v>44597</v>
      </c>
      <c r="K28" s="240">
        <f t="shared" si="3"/>
        <v>20</v>
      </c>
      <c r="L28" s="359">
        <v>4.5499999999999999E-2</v>
      </c>
      <c r="M28" s="127" t="e">
        <f t="shared" si="13"/>
        <v>#REF!</v>
      </c>
      <c r="N28" s="241" t="e">
        <f t="shared" si="10"/>
        <v>#REF!</v>
      </c>
      <c r="O28" s="122">
        <f t="shared" si="5"/>
        <v>6.9061416666666648</v>
      </c>
    </row>
    <row r="29" spans="1:15" ht="16.5" customHeight="1" x14ac:dyDescent="0.25">
      <c r="A29" s="120">
        <v>0.8</v>
      </c>
      <c r="B29" s="73" t="s">
        <v>26</v>
      </c>
      <c r="C29" s="72">
        <v>6241.05</v>
      </c>
      <c r="D29" s="70">
        <v>0</v>
      </c>
      <c r="E29" s="122">
        <f t="shared" si="6"/>
        <v>6241.05</v>
      </c>
      <c r="F29" s="122">
        <f t="shared" si="8"/>
        <v>2080.35</v>
      </c>
      <c r="G29" s="122">
        <f t="shared" si="7"/>
        <v>8321.4</v>
      </c>
      <c r="H29" s="122">
        <f t="shared" si="9"/>
        <v>665.71199999999999</v>
      </c>
      <c r="I29" s="311"/>
      <c r="J29" s="124">
        <f t="shared" si="12"/>
        <v>44597</v>
      </c>
      <c r="K29" s="240">
        <v>0</v>
      </c>
      <c r="L29" s="359">
        <v>4.5499999999999999E-2</v>
      </c>
      <c r="M29" s="127" t="e">
        <f t="shared" si="13"/>
        <v>#REF!</v>
      </c>
      <c r="N29" s="241" t="e">
        <f t="shared" si="10"/>
        <v>#REF!</v>
      </c>
      <c r="O29" s="122">
        <f t="shared" si="5"/>
        <v>378.62369999999999</v>
      </c>
    </row>
    <row r="30" spans="1:15" ht="16.5" customHeight="1" x14ac:dyDescent="0.25">
      <c r="A30" s="120">
        <v>0.8</v>
      </c>
      <c r="B30" s="73" t="s">
        <v>27</v>
      </c>
      <c r="C30" s="72">
        <v>3366.97</v>
      </c>
      <c r="D30" s="70">
        <v>0</v>
      </c>
      <c r="E30" s="122">
        <f t="shared" si="6"/>
        <v>3366.97</v>
      </c>
      <c r="F30" s="122">
        <f t="shared" si="8"/>
        <v>1122.3233333333333</v>
      </c>
      <c r="G30" s="122">
        <f t="shared" si="7"/>
        <v>4489.2933333333331</v>
      </c>
      <c r="H30" s="122">
        <f t="shared" si="9"/>
        <v>359.14346666666665</v>
      </c>
      <c r="I30" s="311"/>
      <c r="J30" s="124">
        <f t="shared" si="12"/>
        <v>44597</v>
      </c>
      <c r="K30" s="240">
        <v>0</v>
      </c>
      <c r="L30" s="359">
        <v>4.5499999999999999E-2</v>
      </c>
      <c r="M30" s="127" t="e">
        <f t="shared" si="13"/>
        <v>#REF!</v>
      </c>
      <c r="N30" s="241" t="e">
        <f t="shared" si="10"/>
        <v>#REF!</v>
      </c>
      <c r="O30" s="122">
        <f t="shared" si="5"/>
        <v>204.26284666666666</v>
      </c>
    </row>
    <row r="31" spans="1:15" ht="16.5" customHeight="1" x14ac:dyDescent="0.25">
      <c r="A31" s="120">
        <v>0.8</v>
      </c>
      <c r="B31" s="73" t="s">
        <v>28</v>
      </c>
      <c r="C31" s="72">
        <v>509.6</v>
      </c>
      <c r="D31" s="70">
        <f t="shared" si="11"/>
        <v>407.68</v>
      </c>
      <c r="E31" s="122">
        <f t="shared" si="6"/>
        <v>101.92000000000002</v>
      </c>
      <c r="F31" s="122">
        <f t="shared" si="8"/>
        <v>169.86666666666667</v>
      </c>
      <c r="G31" s="122">
        <f t="shared" si="7"/>
        <v>271.78666666666669</v>
      </c>
      <c r="H31" s="122">
        <f t="shared" si="9"/>
        <v>54.357333333333337</v>
      </c>
      <c r="I31" s="311">
        <v>44617</v>
      </c>
      <c r="J31" s="124">
        <f t="shared" si="12"/>
        <v>44597</v>
      </c>
      <c r="K31" s="240">
        <f t="shared" si="3"/>
        <v>20</v>
      </c>
      <c r="L31" s="359">
        <v>4.5499999999999999E-2</v>
      </c>
      <c r="M31" s="127" t="e">
        <f t="shared" si="13"/>
        <v>#REF!</v>
      </c>
      <c r="N31" s="241" t="e">
        <f t="shared" si="10"/>
        <v>#REF!</v>
      </c>
      <c r="O31" s="122">
        <f t="shared" si="5"/>
        <v>12.366293333333335</v>
      </c>
    </row>
    <row r="32" spans="1:15" ht="16.5" customHeight="1" x14ac:dyDescent="0.25">
      <c r="A32" s="120">
        <v>0.8</v>
      </c>
      <c r="B32" s="73" t="s">
        <v>29</v>
      </c>
      <c r="C32" s="72">
        <v>2396.81</v>
      </c>
      <c r="D32" s="70">
        <v>0</v>
      </c>
      <c r="E32" s="122">
        <f t="shared" si="6"/>
        <v>2396.81</v>
      </c>
      <c r="F32" s="122">
        <f t="shared" si="8"/>
        <v>798.93666666666661</v>
      </c>
      <c r="G32" s="122">
        <f t="shared" si="7"/>
        <v>3195.7466666666664</v>
      </c>
      <c r="H32" s="122">
        <f t="shared" si="9"/>
        <v>255.65973333333332</v>
      </c>
      <c r="I32" s="311"/>
      <c r="J32" s="124">
        <f t="shared" si="12"/>
        <v>44597</v>
      </c>
      <c r="K32" s="240">
        <v>0</v>
      </c>
      <c r="L32" s="359">
        <v>4.5499999999999999E-2</v>
      </c>
      <c r="M32" s="127" t="e">
        <f t="shared" si="13"/>
        <v>#REF!</v>
      </c>
      <c r="N32" s="241" t="e">
        <f t="shared" si="10"/>
        <v>#REF!</v>
      </c>
      <c r="O32" s="122">
        <f t="shared" si="5"/>
        <v>145.40647333333331</v>
      </c>
    </row>
    <row r="33" spans="1:15" ht="16.5" customHeight="1" x14ac:dyDescent="0.25">
      <c r="A33" s="120">
        <v>0.8</v>
      </c>
      <c r="B33" s="73" t="s">
        <v>30</v>
      </c>
      <c r="C33" s="72">
        <v>4188.24</v>
      </c>
      <c r="D33" s="70">
        <v>1000</v>
      </c>
      <c r="E33" s="122">
        <f t="shared" si="6"/>
        <v>3188.24</v>
      </c>
      <c r="F33" s="122">
        <f t="shared" si="8"/>
        <v>1396.08</v>
      </c>
      <c r="G33" s="122">
        <f t="shared" si="7"/>
        <v>4584.32</v>
      </c>
      <c r="H33" s="122">
        <f t="shared" si="9"/>
        <v>446.74559999999997</v>
      </c>
      <c r="I33" s="311">
        <v>44617</v>
      </c>
      <c r="J33" s="124">
        <f t="shared" si="12"/>
        <v>44597</v>
      </c>
      <c r="K33" s="240">
        <f t="shared" si="3"/>
        <v>20</v>
      </c>
      <c r="L33" s="359">
        <v>4.5499999999999999E-2</v>
      </c>
      <c r="M33" s="127" t="e">
        <f t="shared" si="13"/>
        <v>#REF!</v>
      </c>
      <c r="N33" s="241" t="e">
        <f t="shared" si="10"/>
        <v>#REF!</v>
      </c>
      <c r="O33" s="122">
        <f t="shared" si="5"/>
        <v>208.58655999999999</v>
      </c>
    </row>
    <row r="34" spans="1:15" ht="16.5" customHeight="1" x14ac:dyDescent="0.25">
      <c r="A34" s="120">
        <v>0.8</v>
      </c>
      <c r="B34" s="73" t="s">
        <v>31</v>
      </c>
      <c r="C34" s="72">
        <v>3071.84</v>
      </c>
      <c r="D34" s="70">
        <v>1000</v>
      </c>
      <c r="E34" s="122">
        <f t="shared" si="6"/>
        <v>2071.84</v>
      </c>
      <c r="F34" s="122">
        <f t="shared" si="8"/>
        <v>1023.9466666666667</v>
      </c>
      <c r="G34" s="122">
        <f t="shared" si="7"/>
        <v>3095.7866666666669</v>
      </c>
      <c r="H34" s="122">
        <f t="shared" si="9"/>
        <v>327.66293333333334</v>
      </c>
      <c r="I34" s="311">
        <v>44617</v>
      </c>
      <c r="J34" s="124">
        <f t="shared" si="12"/>
        <v>44597</v>
      </c>
      <c r="K34" s="240">
        <f t="shared" si="3"/>
        <v>20</v>
      </c>
      <c r="L34" s="359">
        <v>4.5499999999999999E-2</v>
      </c>
      <c r="M34" s="127" t="e">
        <f t="shared" si="13"/>
        <v>#REF!</v>
      </c>
      <c r="N34" s="241" t="e">
        <f t="shared" si="10"/>
        <v>#REF!</v>
      </c>
      <c r="O34" s="122">
        <f t="shared" si="5"/>
        <v>140.85829333333334</v>
      </c>
    </row>
    <row r="35" spans="1:15" ht="16.5" customHeight="1" x14ac:dyDescent="0.25">
      <c r="A35" s="120">
        <v>0.8</v>
      </c>
      <c r="B35" s="73" t="s">
        <v>32</v>
      </c>
      <c r="C35" s="72">
        <v>1292</v>
      </c>
      <c r="D35" s="70">
        <f t="shared" si="11"/>
        <v>1033.5999999999999</v>
      </c>
      <c r="E35" s="122">
        <f t="shared" si="6"/>
        <v>258.40000000000009</v>
      </c>
      <c r="F35" s="122">
        <f t="shared" si="8"/>
        <v>430.66666666666669</v>
      </c>
      <c r="G35" s="122">
        <f t="shared" si="7"/>
        <v>689.06666666666683</v>
      </c>
      <c r="H35" s="122">
        <f t="shared" si="9"/>
        <v>137.81333333333333</v>
      </c>
      <c r="I35" s="311">
        <v>44617</v>
      </c>
      <c r="J35" s="124">
        <f t="shared" si="12"/>
        <v>44597</v>
      </c>
      <c r="K35" s="240">
        <f t="shared" si="3"/>
        <v>20</v>
      </c>
      <c r="L35" s="359">
        <v>4.5499999999999999E-2</v>
      </c>
      <c r="M35" s="127" t="e">
        <f t="shared" si="13"/>
        <v>#REF!</v>
      </c>
      <c r="N35" s="241" t="e">
        <f t="shared" si="10"/>
        <v>#REF!</v>
      </c>
      <c r="O35" s="122">
        <f t="shared" si="5"/>
        <v>31.352533333333341</v>
      </c>
    </row>
    <row r="36" spans="1:15" ht="16.5" customHeight="1" x14ac:dyDescent="0.25">
      <c r="A36" s="132"/>
      <c r="B36" s="340" t="s">
        <v>160</v>
      </c>
      <c r="C36" s="340">
        <f>SUM(C20:C35)</f>
        <v>44307.76999999999</v>
      </c>
      <c r="D36" s="340">
        <f>SUM(D20:D35)</f>
        <v>9675.27</v>
      </c>
      <c r="E36" s="48">
        <f>SUM(E20:E35)</f>
        <v>34632.499999999993</v>
      </c>
      <c r="F36" s="48">
        <f>SUM(F20:F35)</f>
        <v>14769.256666666666</v>
      </c>
      <c r="G36" s="48">
        <f t="shared" si="7"/>
        <v>49401.756666666661</v>
      </c>
      <c r="H36" s="48">
        <f>SUM(H20:H35)</f>
        <v>4726.1621333333333</v>
      </c>
      <c r="I36" s="341"/>
      <c r="J36" s="130"/>
      <c r="K36" s="242"/>
      <c r="L36" s="396"/>
      <c r="M36" s="133"/>
      <c r="N36" s="133"/>
      <c r="O36" s="49">
        <f>SUM(O20:O35)</f>
        <v>2247.7799283333325</v>
      </c>
    </row>
    <row r="37" spans="1:15" ht="16.5" customHeight="1" x14ac:dyDescent="0.25">
      <c r="A37" s="120">
        <v>1</v>
      </c>
      <c r="B37" s="73" t="s">
        <v>33</v>
      </c>
      <c r="C37" s="72">
        <v>2338.85</v>
      </c>
      <c r="D37" s="70">
        <v>1000</v>
      </c>
      <c r="E37" s="122">
        <f>C37-D37</f>
        <v>1338.85</v>
      </c>
      <c r="F37" s="122">
        <f t="shared" si="8"/>
        <v>779.61666666666667</v>
      </c>
      <c r="G37" s="122">
        <f t="shared" si="7"/>
        <v>2118.4666666666667</v>
      </c>
      <c r="H37" s="122">
        <f>SUM(C37+F37)*8%</f>
        <v>249.47733333333335</v>
      </c>
      <c r="I37" s="311">
        <v>44623</v>
      </c>
      <c r="J37" s="124">
        <f>J35</f>
        <v>44597</v>
      </c>
      <c r="K37" s="240">
        <f t="shared" si="3"/>
        <v>26</v>
      </c>
      <c r="L37" s="359">
        <v>4.5499999999999999E-2</v>
      </c>
      <c r="M37" s="127" t="e">
        <f>M35</f>
        <v>#REF!</v>
      </c>
      <c r="N37" s="241" t="e">
        <f>M37-J37</f>
        <v>#REF!</v>
      </c>
      <c r="O37" s="122">
        <f t="shared" si="5"/>
        <v>96.390233333333327</v>
      </c>
    </row>
    <row r="38" spans="1:15" ht="16.5" customHeight="1" x14ac:dyDescent="0.25">
      <c r="A38" s="120">
        <v>1</v>
      </c>
      <c r="B38" s="73" t="s">
        <v>34</v>
      </c>
      <c r="C38" s="72">
        <v>1288.44</v>
      </c>
      <c r="D38" s="70">
        <f t="shared" ref="D38:D97" si="14">ROUND(C38*A38,2)</f>
        <v>1288.44</v>
      </c>
      <c r="E38" s="122">
        <f t="shared" si="6"/>
        <v>0</v>
      </c>
      <c r="F38" s="122">
        <f t="shared" si="8"/>
        <v>429.48</v>
      </c>
      <c r="G38" s="122">
        <f t="shared" si="7"/>
        <v>429.48</v>
      </c>
      <c r="H38" s="122">
        <f t="shared" ref="H38:H103" si="15">SUM(C38+F38)*8%</f>
        <v>137.43360000000001</v>
      </c>
      <c r="I38" s="311">
        <v>44617</v>
      </c>
      <c r="J38" s="124">
        <f>J37</f>
        <v>44597</v>
      </c>
      <c r="K38" s="240">
        <f t="shared" si="3"/>
        <v>20</v>
      </c>
      <c r="L38" s="359">
        <v>4.5499999999999999E-2</v>
      </c>
      <c r="M38" s="127" t="e">
        <f>M35</f>
        <v>#REF!</v>
      </c>
      <c r="N38" s="241" t="e">
        <f t="shared" ref="N38:N103" si="16">M38-J38</f>
        <v>#REF!</v>
      </c>
      <c r="O38" s="122">
        <f t="shared" si="5"/>
        <v>19.541340000000002</v>
      </c>
    </row>
    <row r="39" spans="1:15" ht="16.5" customHeight="1" x14ac:dyDescent="0.25">
      <c r="A39" s="120">
        <v>1</v>
      </c>
      <c r="B39" s="73" t="s">
        <v>16</v>
      </c>
      <c r="C39" s="72">
        <v>2.78</v>
      </c>
      <c r="D39" s="70">
        <f t="shared" si="14"/>
        <v>2.78</v>
      </c>
      <c r="E39" s="122">
        <f t="shared" si="6"/>
        <v>0</v>
      </c>
      <c r="F39" s="122">
        <f t="shared" si="8"/>
        <v>0.92666666666666664</v>
      </c>
      <c r="G39" s="122">
        <f t="shared" si="7"/>
        <v>0.92666666666666664</v>
      </c>
      <c r="H39" s="122">
        <f t="shared" si="15"/>
        <v>0.29653333333333332</v>
      </c>
      <c r="I39" s="311">
        <v>44617</v>
      </c>
      <c r="J39" s="124">
        <f t="shared" ref="J39:J101" si="17">J38</f>
        <v>44597</v>
      </c>
      <c r="K39" s="240">
        <f t="shared" si="3"/>
        <v>20</v>
      </c>
      <c r="L39" s="359">
        <v>4.5499999999999999E-2</v>
      </c>
      <c r="M39" s="127" t="e">
        <f>M38</f>
        <v>#REF!</v>
      </c>
      <c r="N39" s="241" t="e">
        <f t="shared" si="16"/>
        <v>#REF!</v>
      </c>
      <c r="O39" s="122">
        <f t="shared" si="5"/>
        <v>4.216333333333333E-2</v>
      </c>
    </row>
    <row r="40" spans="1:15" ht="16.5" customHeight="1" x14ac:dyDescent="0.25">
      <c r="A40" s="120">
        <v>1</v>
      </c>
      <c r="B40" s="73" t="s">
        <v>35</v>
      </c>
      <c r="C40" s="72">
        <v>112.94</v>
      </c>
      <c r="D40" s="70">
        <f t="shared" si="14"/>
        <v>112.94</v>
      </c>
      <c r="E40" s="122">
        <f t="shared" si="6"/>
        <v>0</v>
      </c>
      <c r="F40" s="122">
        <f t="shared" si="8"/>
        <v>37.646666666666668</v>
      </c>
      <c r="G40" s="122">
        <f t="shared" si="7"/>
        <v>37.646666666666668</v>
      </c>
      <c r="H40" s="122">
        <f t="shared" si="15"/>
        <v>12.046933333333333</v>
      </c>
      <c r="I40" s="311">
        <v>44617</v>
      </c>
      <c r="J40" s="124">
        <f t="shared" si="17"/>
        <v>44597</v>
      </c>
      <c r="K40" s="240">
        <f t="shared" si="3"/>
        <v>20</v>
      </c>
      <c r="L40" s="359">
        <v>4.5499999999999999E-2</v>
      </c>
      <c r="M40" s="127" t="e">
        <f t="shared" ref="M40:M102" si="18">M37</f>
        <v>#REF!</v>
      </c>
      <c r="N40" s="241" t="e">
        <f t="shared" si="16"/>
        <v>#REF!</v>
      </c>
      <c r="O40" s="122">
        <f t="shared" si="5"/>
        <v>1.7129233333333334</v>
      </c>
    </row>
    <row r="41" spans="1:15" ht="16.5" customHeight="1" x14ac:dyDescent="0.25">
      <c r="A41" s="120">
        <v>1</v>
      </c>
      <c r="B41" s="73" t="s">
        <v>219</v>
      </c>
      <c r="C41" s="72">
        <v>827.31</v>
      </c>
      <c r="D41" s="70">
        <f t="shared" si="14"/>
        <v>827.31</v>
      </c>
      <c r="E41" s="122">
        <f t="shared" si="6"/>
        <v>0</v>
      </c>
      <c r="F41" s="122">
        <f t="shared" si="8"/>
        <v>275.77</v>
      </c>
      <c r="G41" s="122">
        <f t="shared" si="7"/>
        <v>275.77</v>
      </c>
      <c r="H41" s="122">
        <f t="shared" si="15"/>
        <v>88.246399999999994</v>
      </c>
      <c r="I41" s="311">
        <v>44602</v>
      </c>
      <c r="J41" s="124">
        <f t="shared" si="17"/>
        <v>44597</v>
      </c>
      <c r="K41" s="240">
        <f t="shared" si="3"/>
        <v>5</v>
      </c>
      <c r="L41" s="359">
        <v>4.5499999999999999E-2</v>
      </c>
      <c r="M41" s="127" t="e">
        <f t="shared" si="18"/>
        <v>#REF!</v>
      </c>
      <c r="N41" s="241" t="e">
        <f t="shared" si="16"/>
        <v>#REF!</v>
      </c>
      <c r="O41" s="122">
        <f t="shared" si="5"/>
        <v>12.547534999999998</v>
      </c>
    </row>
    <row r="42" spans="1:15" ht="16.5" customHeight="1" x14ac:dyDescent="0.25">
      <c r="A42" s="120">
        <v>1</v>
      </c>
      <c r="B42" s="73" t="s">
        <v>37</v>
      </c>
      <c r="C42" s="72">
        <v>1702.36</v>
      </c>
      <c r="D42" s="70">
        <f t="shared" si="14"/>
        <v>1702.36</v>
      </c>
      <c r="E42" s="122">
        <f t="shared" si="6"/>
        <v>0</v>
      </c>
      <c r="F42" s="122">
        <f t="shared" si="8"/>
        <v>567.45333333333326</v>
      </c>
      <c r="G42" s="122">
        <f t="shared" si="7"/>
        <v>567.45333333333326</v>
      </c>
      <c r="H42" s="122">
        <f t="shared" si="15"/>
        <v>181.58506666666665</v>
      </c>
      <c r="I42" s="311">
        <v>44617</v>
      </c>
      <c r="J42" s="124">
        <f t="shared" si="17"/>
        <v>44597</v>
      </c>
      <c r="K42" s="240">
        <f t="shared" si="3"/>
        <v>20</v>
      </c>
      <c r="L42" s="359">
        <v>4.5499999999999999E-2</v>
      </c>
      <c r="M42" s="127" t="e">
        <f t="shared" si="18"/>
        <v>#REF!</v>
      </c>
      <c r="N42" s="241" t="e">
        <f t="shared" si="16"/>
        <v>#REF!</v>
      </c>
      <c r="O42" s="122">
        <f t="shared" si="5"/>
        <v>25.819126666666662</v>
      </c>
    </row>
    <row r="43" spans="1:15" ht="16.5" customHeight="1" x14ac:dyDescent="0.25">
      <c r="A43" s="120">
        <v>1</v>
      </c>
      <c r="B43" s="73" t="s">
        <v>105</v>
      </c>
      <c r="C43" s="72">
        <v>238.63</v>
      </c>
      <c r="D43" s="70">
        <f t="shared" si="14"/>
        <v>238.63</v>
      </c>
      <c r="E43" s="122">
        <f t="shared" si="6"/>
        <v>0</v>
      </c>
      <c r="F43" s="122">
        <f t="shared" si="8"/>
        <v>79.543333333333337</v>
      </c>
      <c r="G43" s="122">
        <f t="shared" si="7"/>
        <v>79.543333333333337</v>
      </c>
      <c r="H43" s="122">
        <f t="shared" si="15"/>
        <v>25.45386666666667</v>
      </c>
      <c r="I43" s="311">
        <v>44602</v>
      </c>
      <c r="J43" s="124">
        <f t="shared" si="17"/>
        <v>44597</v>
      </c>
      <c r="K43" s="240">
        <f t="shared" si="3"/>
        <v>5</v>
      </c>
      <c r="L43" s="359">
        <v>4.5499999999999999E-2</v>
      </c>
      <c r="M43" s="127" t="e">
        <f t="shared" si="18"/>
        <v>#REF!</v>
      </c>
      <c r="N43" s="241" t="e">
        <f t="shared" si="16"/>
        <v>#REF!</v>
      </c>
      <c r="O43" s="122">
        <f t="shared" si="5"/>
        <v>3.6192216666666668</v>
      </c>
    </row>
    <row r="44" spans="1:15" ht="16.5" customHeight="1" x14ac:dyDescent="0.25">
      <c r="A44" s="120">
        <v>1</v>
      </c>
      <c r="B44" s="73" t="s">
        <v>38</v>
      </c>
      <c r="C44" s="72">
        <v>3615.9</v>
      </c>
      <c r="D44" s="70">
        <v>1000</v>
      </c>
      <c r="E44" s="122">
        <f t="shared" si="6"/>
        <v>2615.9</v>
      </c>
      <c r="F44" s="122">
        <f t="shared" si="8"/>
        <v>1205.3</v>
      </c>
      <c r="G44" s="122">
        <f t="shared" si="7"/>
        <v>3821.2</v>
      </c>
      <c r="H44" s="122">
        <f t="shared" si="15"/>
        <v>385.69599999999997</v>
      </c>
      <c r="I44" s="311">
        <v>44617</v>
      </c>
      <c r="J44" s="124">
        <f t="shared" si="17"/>
        <v>44597</v>
      </c>
      <c r="K44" s="240">
        <f t="shared" si="3"/>
        <v>20</v>
      </c>
      <c r="L44" s="359">
        <v>4.5499999999999999E-2</v>
      </c>
      <c r="M44" s="127" t="e">
        <f t="shared" si="18"/>
        <v>#REF!</v>
      </c>
      <c r="N44" s="241" t="e">
        <f t="shared" si="16"/>
        <v>#REF!</v>
      </c>
      <c r="O44" s="122">
        <f t="shared" si="5"/>
        <v>173.8646</v>
      </c>
    </row>
    <row r="45" spans="1:15" ht="16.5" customHeight="1" x14ac:dyDescent="0.25">
      <c r="A45" s="120">
        <v>1</v>
      </c>
      <c r="B45" s="73" t="s">
        <v>39</v>
      </c>
      <c r="C45" s="72">
        <v>10.75</v>
      </c>
      <c r="D45" s="70">
        <f t="shared" si="14"/>
        <v>10.75</v>
      </c>
      <c r="E45" s="122">
        <f t="shared" si="6"/>
        <v>0</v>
      </c>
      <c r="F45" s="122">
        <f t="shared" si="8"/>
        <v>3.5833333333333335</v>
      </c>
      <c r="G45" s="122">
        <f t="shared" si="7"/>
        <v>3.5833333333333335</v>
      </c>
      <c r="H45" s="122">
        <f t="shared" si="15"/>
        <v>1.1466666666666667</v>
      </c>
      <c r="I45" s="311">
        <v>44617</v>
      </c>
      <c r="J45" s="124">
        <f t="shared" si="17"/>
        <v>44597</v>
      </c>
      <c r="K45" s="240">
        <f t="shared" si="3"/>
        <v>20</v>
      </c>
      <c r="L45" s="359">
        <v>4.5499999999999999E-2</v>
      </c>
      <c r="M45" s="127" t="e">
        <f t="shared" si="18"/>
        <v>#REF!</v>
      </c>
      <c r="N45" s="241" t="e">
        <f t="shared" si="16"/>
        <v>#REF!</v>
      </c>
      <c r="O45" s="122">
        <f t="shared" si="5"/>
        <v>0.16304166666666667</v>
      </c>
    </row>
    <row r="46" spans="1:15" ht="16.5" customHeight="1" x14ac:dyDescent="0.25">
      <c r="A46" s="120">
        <v>1</v>
      </c>
      <c r="B46" s="73" t="s">
        <v>40</v>
      </c>
      <c r="C46" s="72">
        <v>17.32</v>
      </c>
      <c r="D46" s="70">
        <f t="shared" si="14"/>
        <v>17.32</v>
      </c>
      <c r="E46" s="122">
        <f t="shared" si="6"/>
        <v>0</v>
      </c>
      <c r="F46" s="122">
        <f t="shared" si="8"/>
        <v>5.7733333333333334</v>
      </c>
      <c r="G46" s="122">
        <f t="shared" si="7"/>
        <v>5.7733333333333334</v>
      </c>
      <c r="H46" s="122">
        <f t="shared" si="15"/>
        <v>1.8474666666666668</v>
      </c>
      <c r="I46" s="311">
        <v>44617</v>
      </c>
      <c r="J46" s="124">
        <f t="shared" si="17"/>
        <v>44597</v>
      </c>
      <c r="K46" s="240">
        <f t="shared" si="3"/>
        <v>20</v>
      </c>
      <c r="L46" s="359">
        <v>4.5499999999999999E-2</v>
      </c>
      <c r="M46" s="127" t="e">
        <f t="shared" si="18"/>
        <v>#REF!</v>
      </c>
      <c r="N46" s="241" t="e">
        <f t="shared" si="16"/>
        <v>#REF!</v>
      </c>
      <c r="O46" s="122">
        <f t="shared" si="5"/>
        <v>0.26268666666666668</v>
      </c>
    </row>
    <row r="47" spans="1:15" ht="16.5" customHeight="1" x14ac:dyDescent="0.25">
      <c r="A47" s="120">
        <v>1</v>
      </c>
      <c r="B47" s="73" t="s">
        <v>41</v>
      </c>
      <c r="C47" s="72">
        <v>6.78</v>
      </c>
      <c r="D47" s="70">
        <f t="shared" si="14"/>
        <v>6.78</v>
      </c>
      <c r="E47" s="122">
        <f t="shared" si="6"/>
        <v>0</v>
      </c>
      <c r="F47" s="122">
        <f t="shared" si="8"/>
        <v>2.2600000000000002</v>
      </c>
      <c r="G47" s="122">
        <f t="shared" si="7"/>
        <v>2.2600000000000002</v>
      </c>
      <c r="H47" s="122">
        <f t="shared" si="15"/>
        <v>0.72320000000000007</v>
      </c>
      <c r="I47" s="311">
        <v>44617</v>
      </c>
      <c r="J47" s="124">
        <f t="shared" si="17"/>
        <v>44597</v>
      </c>
      <c r="K47" s="240">
        <f t="shared" si="3"/>
        <v>20</v>
      </c>
      <c r="L47" s="359">
        <v>4.5499999999999999E-2</v>
      </c>
      <c r="M47" s="127" t="e">
        <f t="shared" si="18"/>
        <v>#REF!</v>
      </c>
      <c r="N47" s="241" t="e">
        <f t="shared" si="16"/>
        <v>#REF!</v>
      </c>
      <c r="O47" s="122">
        <f t="shared" si="5"/>
        <v>0.10283</v>
      </c>
    </row>
    <row r="48" spans="1:15" ht="16.5" customHeight="1" x14ac:dyDescent="0.25">
      <c r="A48" s="120">
        <v>1</v>
      </c>
      <c r="B48" s="73" t="s">
        <v>42</v>
      </c>
      <c r="C48" s="72">
        <v>1702.3</v>
      </c>
      <c r="D48" s="70">
        <v>1000</v>
      </c>
      <c r="E48" s="122">
        <v>0</v>
      </c>
      <c r="F48" s="122">
        <f t="shared" si="8"/>
        <v>567.43333333333328</v>
      </c>
      <c r="G48" s="122">
        <f t="shared" si="7"/>
        <v>567.43333333333328</v>
      </c>
      <c r="H48" s="122">
        <f t="shared" si="15"/>
        <v>181.57866666666666</v>
      </c>
      <c r="I48" s="311">
        <v>44617</v>
      </c>
      <c r="J48" s="124">
        <f t="shared" si="17"/>
        <v>44597</v>
      </c>
      <c r="K48" s="240">
        <f t="shared" si="3"/>
        <v>20</v>
      </c>
      <c r="L48" s="359">
        <v>4.5499999999999999E-2</v>
      </c>
      <c r="M48" s="127" t="e">
        <f t="shared" si="18"/>
        <v>#REF!</v>
      </c>
      <c r="N48" s="241" t="e">
        <f t="shared" si="16"/>
        <v>#REF!</v>
      </c>
      <c r="O48" s="122">
        <f t="shared" si="5"/>
        <v>25.818216666666665</v>
      </c>
    </row>
    <row r="49" spans="1:15" ht="16.5" customHeight="1" x14ac:dyDescent="0.25">
      <c r="A49" s="120">
        <v>1</v>
      </c>
      <c r="B49" s="73" t="s">
        <v>42</v>
      </c>
      <c r="C49" s="72"/>
      <c r="D49" s="70">
        <f>ROUND(C48*A48,2)-D48</f>
        <v>702.3</v>
      </c>
      <c r="E49" s="122">
        <f>C48-D48-D49</f>
        <v>0</v>
      </c>
      <c r="F49" s="122">
        <f t="shared" si="8"/>
        <v>0</v>
      </c>
      <c r="G49" s="122">
        <f t="shared" si="7"/>
        <v>0</v>
      </c>
      <c r="H49" s="122">
        <f t="shared" si="15"/>
        <v>0</v>
      </c>
      <c r="I49" s="311">
        <v>44623</v>
      </c>
      <c r="J49" s="124">
        <f t="shared" si="17"/>
        <v>44597</v>
      </c>
      <c r="K49" s="240">
        <f t="shared" si="3"/>
        <v>26</v>
      </c>
      <c r="L49" s="359">
        <v>4.5499999999999999E-2</v>
      </c>
      <c r="M49" s="127" t="e">
        <f t="shared" si="18"/>
        <v>#REF!</v>
      </c>
      <c r="N49" s="241" t="e">
        <f t="shared" si="16"/>
        <v>#REF!</v>
      </c>
      <c r="O49" s="122">
        <f t="shared" si="5"/>
        <v>0</v>
      </c>
    </row>
    <row r="50" spans="1:15" ht="16.5" customHeight="1" x14ac:dyDescent="0.25">
      <c r="A50" s="120">
        <v>1</v>
      </c>
      <c r="B50" s="73" t="s">
        <v>43</v>
      </c>
      <c r="C50" s="72">
        <v>56.47</v>
      </c>
      <c r="D50" s="70">
        <f t="shared" si="14"/>
        <v>56.47</v>
      </c>
      <c r="E50" s="122">
        <f t="shared" si="6"/>
        <v>0</v>
      </c>
      <c r="F50" s="122">
        <f t="shared" si="8"/>
        <v>18.823333333333334</v>
      </c>
      <c r="G50" s="122">
        <f t="shared" si="7"/>
        <v>18.823333333333334</v>
      </c>
      <c r="H50" s="122">
        <f t="shared" si="15"/>
        <v>6.0234666666666667</v>
      </c>
      <c r="I50" s="311">
        <v>44596</v>
      </c>
      <c r="J50" s="124">
        <f t="shared" si="17"/>
        <v>44597</v>
      </c>
      <c r="K50" s="240">
        <f t="shared" si="3"/>
        <v>-1</v>
      </c>
      <c r="L50" s="359">
        <v>4.5499999999999999E-2</v>
      </c>
      <c r="M50" s="127" t="e">
        <f t="shared" si="18"/>
        <v>#REF!</v>
      </c>
      <c r="N50" s="241" t="e">
        <f t="shared" si="16"/>
        <v>#REF!</v>
      </c>
      <c r="O50" s="122">
        <f t="shared" si="5"/>
        <v>0.85646166666666668</v>
      </c>
    </row>
    <row r="51" spans="1:15" ht="16.5" customHeight="1" x14ac:dyDescent="0.25">
      <c r="A51" s="120">
        <v>1</v>
      </c>
      <c r="B51" s="73" t="s">
        <v>44</v>
      </c>
      <c r="C51" s="72">
        <v>263.98</v>
      </c>
      <c r="D51" s="70">
        <f t="shared" si="14"/>
        <v>263.98</v>
      </c>
      <c r="E51" s="122">
        <f t="shared" si="6"/>
        <v>0</v>
      </c>
      <c r="F51" s="122">
        <f t="shared" si="8"/>
        <v>87.993333333333339</v>
      </c>
      <c r="G51" s="122">
        <f t="shared" si="7"/>
        <v>87.993333333333339</v>
      </c>
      <c r="H51" s="122">
        <f t="shared" si="15"/>
        <v>28.157866666666671</v>
      </c>
      <c r="I51" s="311">
        <v>44617</v>
      </c>
      <c r="J51" s="124">
        <f t="shared" si="17"/>
        <v>44597</v>
      </c>
      <c r="K51" s="240">
        <f t="shared" si="3"/>
        <v>20</v>
      </c>
      <c r="L51" s="359">
        <v>4.5499999999999999E-2</v>
      </c>
      <c r="M51" s="127" t="e">
        <f t="shared" si="18"/>
        <v>#REF!</v>
      </c>
      <c r="N51" s="241" t="e">
        <f t="shared" si="16"/>
        <v>#REF!</v>
      </c>
      <c r="O51" s="122">
        <f t="shared" si="5"/>
        <v>4.0036966666666665</v>
      </c>
    </row>
    <row r="52" spans="1:15" ht="16.5" customHeight="1" x14ac:dyDescent="0.25">
      <c r="A52" s="120">
        <v>1</v>
      </c>
      <c r="B52" s="73" t="s">
        <v>46</v>
      </c>
      <c r="C52" s="72">
        <v>10.75</v>
      </c>
      <c r="D52" s="70">
        <f t="shared" si="14"/>
        <v>10.75</v>
      </c>
      <c r="E52" s="122">
        <f t="shared" si="6"/>
        <v>0</v>
      </c>
      <c r="F52" s="122">
        <f t="shared" si="8"/>
        <v>3.5833333333333335</v>
      </c>
      <c r="G52" s="122">
        <f t="shared" si="7"/>
        <v>3.5833333333333335</v>
      </c>
      <c r="H52" s="122">
        <f t="shared" si="15"/>
        <v>1.1466666666666667</v>
      </c>
      <c r="I52" s="311">
        <v>44617</v>
      </c>
      <c r="J52" s="124">
        <f t="shared" si="17"/>
        <v>44597</v>
      </c>
      <c r="K52" s="240">
        <f t="shared" si="3"/>
        <v>20</v>
      </c>
      <c r="L52" s="359">
        <v>4.5499999999999999E-2</v>
      </c>
      <c r="M52" s="127" t="e">
        <f t="shared" si="18"/>
        <v>#REF!</v>
      </c>
      <c r="N52" s="241" t="e">
        <f t="shared" si="16"/>
        <v>#REF!</v>
      </c>
      <c r="O52" s="122">
        <f t="shared" si="5"/>
        <v>0.16304166666666667</v>
      </c>
    </row>
    <row r="53" spans="1:15" ht="16.5" customHeight="1" x14ac:dyDescent="0.25">
      <c r="A53" s="120">
        <v>1</v>
      </c>
      <c r="B53" s="73" t="s">
        <v>47</v>
      </c>
      <c r="C53" s="72">
        <v>204.14</v>
      </c>
      <c r="D53" s="70">
        <f t="shared" si="14"/>
        <v>204.14</v>
      </c>
      <c r="E53" s="122">
        <f t="shared" si="6"/>
        <v>0</v>
      </c>
      <c r="F53" s="122">
        <f t="shared" si="8"/>
        <v>68.046666666666667</v>
      </c>
      <c r="G53" s="122">
        <f t="shared" si="7"/>
        <v>68.046666666666667</v>
      </c>
      <c r="H53" s="122">
        <f t="shared" si="15"/>
        <v>21.774933333333333</v>
      </c>
      <c r="I53" s="311">
        <v>44617</v>
      </c>
      <c r="J53" s="124">
        <f t="shared" si="17"/>
        <v>44597</v>
      </c>
      <c r="K53" s="240">
        <f t="shared" si="3"/>
        <v>20</v>
      </c>
      <c r="L53" s="359">
        <v>4.5499999999999999E-2</v>
      </c>
      <c r="M53" s="127" t="e">
        <f t="shared" si="18"/>
        <v>#REF!</v>
      </c>
      <c r="N53" s="241" t="e">
        <f t="shared" si="16"/>
        <v>#REF!</v>
      </c>
      <c r="O53" s="122">
        <f t="shared" si="5"/>
        <v>3.0961233333333333</v>
      </c>
    </row>
    <row r="54" spans="1:15" ht="16.5" customHeight="1" x14ac:dyDescent="0.25">
      <c r="A54" s="120">
        <v>1</v>
      </c>
      <c r="B54" s="73" t="s">
        <v>49</v>
      </c>
      <c r="C54" s="72">
        <v>941.19</v>
      </c>
      <c r="D54" s="70">
        <f t="shared" si="14"/>
        <v>941.19</v>
      </c>
      <c r="E54" s="122">
        <f>C54-D54</f>
        <v>0</v>
      </c>
      <c r="F54" s="122">
        <f t="shared" si="8"/>
        <v>313.73</v>
      </c>
      <c r="G54" s="122">
        <f t="shared" si="7"/>
        <v>313.73</v>
      </c>
      <c r="H54" s="122">
        <f t="shared" si="15"/>
        <v>100.39360000000001</v>
      </c>
      <c r="I54" s="311">
        <v>44617</v>
      </c>
      <c r="J54" s="124">
        <f t="shared" si="17"/>
        <v>44597</v>
      </c>
      <c r="K54" s="240">
        <f t="shared" si="3"/>
        <v>20</v>
      </c>
      <c r="L54" s="359">
        <v>4.5499999999999999E-2</v>
      </c>
      <c r="M54" s="127" t="e">
        <f t="shared" si="18"/>
        <v>#REF!</v>
      </c>
      <c r="N54" s="241" t="e">
        <f t="shared" si="16"/>
        <v>#REF!</v>
      </c>
      <c r="O54" s="122">
        <f t="shared" si="5"/>
        <v>14.274715</v>
      </c>
    </row>
    <row r="55" spans="1:15" ht="16.5" customHeight="1" x14ac:dyDescent="0.25">
      <c r="A55" s="120">
        <v>1</v>
      </c>
      <c r="B55" s="73" t="s">
        <v>50</v>
      </c>
      <c r="C55" s="72">
        <v>1200.25</v>
      </c>
      <c r="D55" s="70">
        <f t="shared" si="14"/>
        <v>1200.25</v>
      </c>
      <c r="E55" s="122">
        <f>C55-D55</f>
        <v>0</v>
      </c>
      <c r="F55" s="122">
        <f t="shared" si="8"/>
        <v>400.08333333333331</v>
      </c>
      <c r="G55" s="122">
        <f t="shared" si="7"/>
        <v>400.08333333333331</v>
      </c>
      <c r="H55" s="122">
        <f t="shared" si="15"/>
        <v>128.02666666666667</v>
      </c>
      <c r="I55" s="311">
        <v>44606</v>
      </c>
      <c r="J55" s="124">
        <f t="shared" si="17"/>
        <v>44597</v>
      </c>
      <c r="K55" s="240">
        <f t="shared" si="3"/>
        <v>9</v>
      </c>
      <c r="L55" s="359">
        <v>4.5499999999999999E-2</v>
      </c>
      <c r="M55" s="127" t="e">
        <f t="shared" si="18"/>
        <v>#REF!</v>
      </c>
      <c r="N55" s="241" t="e">
        <f t="shared" si="16"/>
        <v>#REF!</v>
      </c>
      <c r="O55" s="122">
        <f t="shared" si="5"/>
        <v>18.203791666666664</v>
      </c>
    </row>
    <row r="56" spans="1:15" ht="16.5" customHeight="1" x14ac:dyDescent="0.25">
      <c r="A56" s="120">
        <v>1</v>
      </c>
      <c r="B56" s="73" t="s">
        <v>51</v>
      </c>
      <c r="C56" s="72">
        <v>195.12</v>
      </c>
      <c r="D56" s="70">
        <f t="shared" si="14"/>
        <v>195.12</v>
      </c>
      <c r="E56" s="122">
        <f t="shared" si="6"/>
        <v>0</v>
      </c>
      <c r="F56" s="122">
        <f t="shared" si="8"/>
        <v>65.040000000000006</v>
      </c>
      <c r="G56" s="122">
        <f t="shared" si="7"/>
        <v>65.040000000000006</v>
      </c>
      <c r="H56" s="122">
        <f t="shared" si="15"/>
        <v>20.812800000000003</v>
      </c>
      <c r="I56" s="311">
        <v>44617</v>
      </c>
      <c r="J56" s="124">
        <f t="shared" si="17"/>
        <v>44597</v>
      </c>
      <c r="K56" s="240">
        <f t="shared" si="3"/>
        <v>20</v>
      </c>
      <c r="L56" s="359">
        <v>4.5499999999999999E-2</v>
      </c>
      <c r="M56" s="127" t="e">
        <f t="shared" si="18"/>
        <v>#REF!</v>
      </c>
      <c r="N56" s="241" t="e">
        <f t="shared" si="16"/>
        <v>#REF!</v>
      </c>
      <c r="O56" s="122">
        <f t="shared" si="5"/>
        <v>2.9593200000000004</v>
      </c>
    </row>
    <row r="57" spans="1:15" ht="16.5" customHeight="1" x14ac:dyDescent="0.25">
      <c r="A57" s="120">
        <v>1</v>
      </c>
      <c r="B57" s="73" t="s">
        <v>52</v>
      </c>
      <c r="C57" s="72">
        <v>63.81</v>
      </c>
      <c r="D57" s="70">
        <f t="shared" si="14"/>
        <v>63.81</v>
      </c>
      <c r="E57" s="122">
        <f t="shared" si="6"/>
        <v>0</v>
      </c>
      <c r="F57" s="122">
        <f t="shared" si="8"/>
        <v>21.27</v>
      </c>
      <c r="G57" s="122">
        <f t="shared" si="7"/>
        <v>21.27</v>
      </c>
      <c r="H57" s="122">
        <f t="shared" si="15"/>
        <v>6.8064</v>
      </c>
      <c r="I57" s="311">
        <v>44617</v>
      </c>
      <c r="J57" s="124">
        <f t="shared" si="17"/>
        <v>44597</v>
      </c>
      <c r="K57" s="240">
        <f t="shared" si="3"/>
        <v>20</v>
      </c>
      <c r="L57" s="359">
        <v>4.5499999999999999E-2</v>
      </c>
      <c r="M57" s="127" t="e">
        <f t="shared" si="18"/>
        <v>#REF!</v>
      </c>
      <c r="N57" s="241" t="e">
        <f t="shared" si="16"/>
        <v>#REF!</v>
      </c>
      <c r="O57" s="122">
        <f t="shared" si="5"/>
        <v>0.96778500000000001</v>
      </c>
    </row>
    <row r="58" spans="1:15" ht="16.5" customHeight="1" x14ac:dyDescent="0.25">
      <c r="A58" s="120">
        <v>1</v>
      </c>
      <c r="B58" s="73" t="s">
        <v>53</v>
      </c>
      <c r="C58" s="72">
        <v>2562.75</v>
      </c>
      <c r="D58" s="70">
        <v>1000</v>
      </c>
      <c r="E58" s="122">
        <f t="shared" si="6"/>
        <v>1562.75</v>
      </c>
      <c r="F58" s="122">
        <f t="shared" si="8"/>
        <v>854.25</v>
      </c>
      <c r="G58" s="122">
        <f t="shared" si="7"/>
        <v>2417</v>
      </c>
      <c r="H58" s="122">
        <f t="shared" si="15"/>
        <v>273.36</v>
      </c>
      <c r="I58" s="311">
        <v>44623</v>
      </c>
      <c r="J58" s="124">
        <f t="shared" si="17"/>
        <v>44597</v>
      </c>
      <c r="K58" s="240">
        <f t="shared" si="3"/>
        <v>26</v>
      </c>
      <c r="L58" s="359">
        <v>4.5499999999999999E-2</v>
      </c>
      <c r="M58" s="127" t="e">
        <f t="shared" si="18"/>
        <v>#REF!</v>
      </c>
      <c r="N58" s="241" t="e">
        <f t="shared" si="16"/>
        <v>#REF!</v>
      </c>
      <c r="O58" s="122">
        <f t="shared" si="5"/>
        <v>109.9735</v>
      </c>
    </row>
    <row r="59" spans="1:15" ht="16.5" customHeight="1" x14ac:dyDescent="0.25">
      <c r="A59" s="120">
        <v>1</v>
      </c>
      <c r="B59" s="73" t="s">
        <v>54</v>
      </c>
      <c r="C59" s="72">
        <v>15.46</v>
      </c>
      <c r="D59" s="70">
        <f t="shared" si="14"/>
        <v>15.46</v>
      </c>
      <c r="E59" s="122">
        <f>C59-D59</f>
        <v>0</v>
      </c>
      <c r="F59" s="122">
        <f t="shared" si="8"/>
        <v>5.1533333333333333</v>
      </c>
      <c r="G59" s="122">
        <f t="shared" si="7"/>
        <v>5.1533333333333333</v>
      </c>
      <c r="H59" s="122">
        <f t="shared" si="15"/>
        <v>1.6490666666666667</v>
      </c>
      <c r="I59" s="311">
        <v>44617</v>
      </c>
      <c r="J59" s="124">
        <f t="shared" si="17"/>
        <v>44597</v>
      </c>
      <c r="K59" s="240">
        <f t="shared" si="3"/>
        <v>20</v>
      </c>
      <c r="L59" s="359">
        <v>4.5499999999999999E-2</v>
      </c>
      <c r="M59" s="127" t="e">
        <f t="shared" si="18"/>
        <v>#REF!</v>
      </c>
      <c r="N59" s="241" t="e">
        <f t="shared" si="16"/>
        <v>#REF!</v>
      </c>
      <c r="O59" s="122">
        <f t="shared" si="5"/>
        <v>0.23447666666666667</v>
      </c>
    </row>
    <row r="60" spans="1:15" ht="16.5" customHeight="1" x14ac:dyDescent="0.25">
      <c r="A60" s="120">
        <v>1</v>
      </c>
      <c r="B60" s="73" t="s">
        <v>55</v>
      </c>
      <c r="C60" s="72">
        <v>7.69</v>
      </c>
      <c r="D60" s="70">
        <f t="shared" si="14"/>
        <v>7.69</v>
      </c>
      <c r="E60" s="122">
        <f t="shared" si="6"/>
        <v>0</v>
      </c>
      <c r="F60" s="122">
        <f t="shared" si="8"/>
        <v>2.5633333333333335</v>
      </c>
      <c r="G60" s="122">
        <f t="shared" si="7"/>
        <v>2.5633333333333335</v>
      </c>
      <c r="H60" s="122">
        <f t="shared" si="15"/>
        <v>0.8202666666666667</v>
      </c>
      <c r="I60" s="311">
        <v>44617</v>
      </c>
      <c r="J60" s="124">
        <f t="shared" si="17"/>
        <v>44597</v>
      </c>
      <c r="K60" s="240">
        <f t="shared" si="3"/>
        <v>20</v>
      </c>
      <c r="L60" s="359">
        <v>4.5499999999999999E-2</v>
      </c>
      <c r="M60" s="127" t="e">
        <f t="shared" si="18"/>
        <v>#REF!</v>
      </c>
      <c r="N60" s="241" t="e">
        <f t="shared" si="16"/>
        <v>#REF!</v>
      </c>
      <c r="O60" s="122">
        <f t="shared" si="5"/>
        <v>0.11663166666666668</v>
      </c>
    </row>
    <row r="61" spans="1:15" ht="16.5" customHeight="1" x14ac:dyDescent="0.25">
      <c r="A61" s="120">
        <v>1</v>
      </c>
      <c r="B61" s="73" t="s">
        <v>56</v>
      </c>
      <c r="C61" s="72">
        <v>128.62</v>
      </c>
      <c r="D61" s="70">
        <f t="shared" si="14"/>
        <v>128.62</v>
      </c>
      <c r="E61" s="122">
        <f t="shared" si="6"/>
        <v>0</v>
      </c>
      <c r="F61" s="122">
        <f t="shared" si="8"/>
        <v>42.873333333333335</v>
      </c>
      <c r="G61" s="122">
        <f t="shared" si="7"/>
        <v>42.873333333333335</v>
      </c>
      <c r="H61" s="122">
        <f t="shared" si="15"/>
        <v>13.719466666666667</v>
      </c>
      <c r="I61" s="311">
        <v>44617</v>
      </c>
      <c r="J61" s="124">
        <f t="shared" si="17"/>
        <v>44597</v>
      </c>
      <c r="K61" s="240">
        <f t="shared" si="3"/>
        <v>20</v>
      </c>
      <c r="L61" s="359">
        <v>4.5499999999999999E-2</v>
      </c>
      <c r="M61" s="127" t="e">
        <f t="shared" si="18"/>
        <v>#REF!</v>
      </c>
      <c r="N61" s="241" t="e">
        <f t="shared" si="16"/>
        <v>#REF!</v>
      </c>
      <c r="O61" s="122">
        <f t="shared" si="5"/>
        <v>1.9507366666666668</v>
      </c>
    </row>
    <row r="62" spans="1:15" s="95" customFormat="1" ht="16.5" customHeight="1" x14ac:dyDescent="0.25">
      <c r="A62" s="120">
        <v>1</v>
      </c>
      <c r="B62" s="73" t="s">
        <v>57</v>
      </c>
      <c r="C62" s="72">
        <v>7.36</v>
      </c>
      <c r="D62" s="70">
        <f t="shared" si="14"/>
        <v>7.36</v>
      </c>
      <c r="E62" s="122">
        <f>C62-D62</f>
        <v>0</v>
      </c>
      <c r="F62" s="122">
        <f t="shared" si="8"/>
        <v>2.4533333333333336</v>
      </c>
      <c r="G62" s="122">
        <f t="shared" si="7"/>
        <v>2.4533333333333336</v>
      </c>
      <c r="H62" s="122">
        <f t="shared" si="15"/>
        <v>0.7850666666666668</v>
      </c>
      <c r="I62" s="311">
        <v>44617</v>
      </c>
      <c r="J62" s="124">
        <f t="shared" si="17"/>
        <v>44597</v>
      </c>
      <c r="K62" s="240">
        <f t="shared" si="3"/>
        <v>20</v>
      </c>
      <c r="L62" s="359">
        <v>4.5499999999999999E-2</v>
      </c>
      <c r="M62" s="127" t="e">
        <f t="shared" si="18"/>
        <v>#REF!</v>
      </c>
      <c r="N62" s="241" t="e">
        <f t="shared" si="16"/>
        <v>#REF!</v>
      </c>
      <c r="O62" s="122">
        <f t="shared" si="5"/>
        <v>0.11162666666666668</v>
      </c>
    </row>
    <row r="63" spans="1:15" ht="16.5" customHeight="1" x14ac:dyDescent="0.25">
      <c r="A63" s="120">
        <v>1</v>
      </c>
      <c r="B63" s="73" t="s">
        <v>220</v>
      </c>
      <c r="C63" s="72">
        <v>1155.69</v>
      </c>
      <c r="D63" s="70">
        <f t="shared" si="14"/>
        <v>1155.69</v>
      </c>
      <c r="E63" s="122">
        <f>C63-D63</f>
        <v>0</v>
      </c>
      <c r="F63" s="122">
        <f t="shared" si="8"/>
        <v>385.23</v>
      </c>
      <c r="G63" s="122">
        <f t="shared" si="7"/>
        <v>385.23</v>
      </c>
      <c r="H63" s="122">
        <f t="shared" si="15"/>
        <v>123.2736</v>
      </c>
      <c r="I63" s="311">
        <v>44606</v>
      </c>
      <c r="J63" s="124">
        <f t="shared" si="17"/>
        <v>44597</v>
      </c>
      <c r="K63" s="240">
        <f t="shared" si="3"/>
        <v>9</v>
      </c>
      <c r="L63" s="359">
        <v>4.5499999999999999E-2</v>
      </c>
      <c r="M63" s="127" t="e">
        <f t="shared" si="18"/>
        <v>#REF!</v>
      </c>
      <c r="N63" s="241" t="e">
        <f t="shared" si="16"/>
        <v>#REF!</v>
      </c>
      <c r="O63" s="122">
        <f t="shared" si="5"/>
        <v>17.527965000000002</v>
      </c>
    </row>
    <row r="64" spans="1:15" ht="16.5" customHeight="1" x14ac:dyDescent="0.25">
      <c r="A64" s="120">
        <v>1</v>
      </c>
      <c r="B64" s="73" t="s">
        <v>122</v>
      </c>
      <c r="C64" s="72">
        <v>86.78</v>
      </c>
      <c r="D64" s="70">
        <f t="shared" si="14"/>
        <v>86.78</v>
      </c>
      <c r="E64" s="122">
        <f t="shared" ref="E64:E103" si="19">C64-D64</f>
        <v>0</v>
      </c>
      <c r="F64" s="122">
        <f t="shared" si="8"/>
        <v>28.926666666666666</v>
      </c>
      <c r="G64" s="122">
        <f t="shared" si="7"/>
        <v>28.926666666666666</v>
      </c>
      <c r="H64" s="122">
        <f t="shared" si="15"/>
        <v>9.2565333333333335</v>
      </c>
      <c r="I64" s="311">
        <v>44617</v>
      </c>
      <c r="J64" s="124">
        <f t="shared" si="17"/>
        <v>44597</v>
      </c>
      <c r="K64" s="240">
        <f t="shared" si="3"/>
        <v>20</v>
      </c>
      <c r="L64" s="359">
        <v>4.5499999999999999E-2</v>
      </c>
      <c r="M64" s="127" t="e">
        <f t="shared" si="18"/>
        <v>#REF!</v>
      </c>
      <c r="N64" s="241" t="e">
        <f t="shared" si="16"/>
        <v>#REF!</v>
      </c>
      <c r="O64" s="122">
        <f t="shared" si="5"/>
        <v>1.3161633333333334</v>
      </c>
    </row>
    <row r="65" spans="1:15" ht="16.5" customHeight="1" x14ac:dyDescent="0.25">
      <c r="A65" s="120">
        <v>1</v>
      </c>
      <c r="B65" s="73" t="s">
        <v>4</v>
      </c>
      <c r="C65" s="72">
        <v>394.27</v>
      </c>
      <c r="D65" s="70">
        <f t="shared" si="14"/>
        <v>394.27</v>
      </c>
      <c r="E65" s="122">
        <f t="shared" si="19"/>
        <v>0</v>
      </c>
      <c r="F65" s="122">
        <f t="shared" si="8"/>
        <v>131.42333333333332</v>
      </c>
      <c r="G65" s="122">
        <f t="shared" si="7"/>
        <v>131.42333333333332</v>
      </c>
      <c r="H65" s="122">
        <f t="shared" si="15"/>
        <v>42.055466666666661</v>
      </c>
      <c r="I65" s="311">
        <v>44617</v>
      </c>
      <c r="J65" s="124">
        <f t="shared" si="17"/>
        <v>44597</v>
      </c>
      <c r="K65" s="240">
        <f t="shared" si="3"/>
        <v>20</v>
      </c>
      <c r="L65" s="359">
        <v>4.5499999999999999E-2</v>
      </c>
      <c r="M65" s="127" t="e">
        <f t="shared" si="18"/>
        <v>#REF!</v>
      </c>
      <c r="N65" s="241" t="e">
        <f t="shared" si="16"/>
        <v>#REF!</v>
      </c>
      <c r="O65" s="122">
        <f t="shared" si="5"/>
        <v>5.9797616666666658</v>
      </c>
    </row>
    <row r="66" spans="1:15" ht="16.5" customHeight="1" x14ac:dyDescent="0.25">
      <c r="A66" s="120">
        <v>1</v>
      </c>
      <c r="B66" s="73" t="s">
        <v>58</v>
      </c>
      <c r="C66" s="72">
        <v>8.25</v>
      </c>
      <c r="D66" s="70">
        <f t="shared" si="14"/>
        <v>8.25</v>
      </c>
      <c r="E66" s="122">
        <f t="shared" si="19"/>
        <v>0</v>
      </c>
      <c r="F66" s="122">
        <f t="shared" si="8"/>
        <v>2.75</v>
      </c>
      <c r="G66" s="122">
        <f t="shared" si="7"/>
        <v>2.75</v>
      </c>
      <c r="H66" s="122">
        <f t="shared" si="15"/>
        <v>0.88</v>
      </c>
      <c r="I66" s="311">
        <v>44617</v>
      </c>
      <c r="J66" s="124">
        <f t="shared" si="17"/>
        <v>44597</v>
      </c>
      <c r="K66" s="240">
        <f t="shared" si="3"/>
        <v>20</v>
      </c>
      <c r="L66" s="359">
        <v>4.5499999999999999E-2</v>
      </c>
      <c r="M66" s="127" t="e">
        <f t="shared" si="18"/>
        <v>#REF!</v>
      </c>
      <c r="N66" s="241" t="e">
        <f t="shared" si="16"/>
        <v>#REF!</v>
      </c>
      <c r="O66" s="122">
        <f t="shared" si="5"/>
        <v>0.12512499999999999</v>
      </c>
    </row>
    <row r="67" spans="1:15" ht="16.5" customHeight="1" x14ac:dyDescent="0.25">
      <c r="A67" s="120">
        <v>1</v>
      </c>
      <c r="B67" s="73" t="s">
        <v>59</v>
      </c>
      <c r="C67" s="72">
        <v>69.25</v>
      </c>
      <c r="D67" s="70">
        <f t="shared" si="14"/>
        <v>69.25</v>
      </c>
      <c r="E67" s="122">
        <f t="shared" si="19"/>
        <v>0</v>
      </c>
      <c r="F67" s="122">
        <f t="shared" si="8"/>
        <v>23.083333333333332</v>
      </c>
      <c r="G67" s="122">
        <f t="shared" si="7"/>
        <v>23.083333333333332</v>
      </c>
      <c r="H67" s="122">
        <f t="shared" si="15"/>
        <v>7.3866666666666667</v>
      </c>
      <c r="I67" s="311">
        <v>44617</v>
      </c>
      <c r="J67" s="124">
        <f t="shared" si="17"/>
        <v>44597</v>
      </c>
      <c r="K67" s="240">
        <f t="shared" si="3"/>
        <v>20</v>
      </c>
      <c r="L67" s="359">
        <v>4.5499999999999999E-2</v>
      </c>
      <c r="M67" s="127" t="e">
        <f t="shared" si="18"/>
        <v>#REF!</v>
      </c>
      <c r="N67" s="241" t="e">
        <f t="shared" si="16"/>
        <v>#REF!</v>
      </c>
      <c r="O67" s="122">
        <f t="shared" si="5"/>
        <v>1.0502916666666666</v>
      </c>
    </row>
    <row r="68" spans="1:15" ht="16.5" customHeight="1" x14ac:dyDescent="0.25">
      <c r="A68" s="120">
        <v>1</v>
      </c>
      <c r="B68" s="73" t="s">
        <v>62</v>
      </c>
      <c r="C68" s="72">
        <v>5.0599999999999996</v>
      </c>
      <c r="D68" s="70">
        <f t="shared" si="14"/>
        <v>5.0599999999999996</v>
      </c>
      <c r="E68" s="122">
        <f t="shared" si="19"/>
        <v>0</v>
      </c>
      <c r="F68" s="122">
        <f t="shared" si="8"/>
        <v>1.6866666666666665</v>
      </c>
      <c r="G68" s="122">
        <f t="shared" ref="G68:G105" si="20">E68+F68</f>
        <v>1.6866666666666665</v>
      </c>
      <c r="H68" s="122">
        <f t="shared" si="15"/>
        <v>0.53973333333333329</v>
      </c>
      <c r="I68" s="311">
        <v>44617</v>
      </c>
      <c r="J68" s="124">
        <f t="shared" si="17"/>
        <v>44597</v>
      </c>
      <c r="K68" s="240">
        <f t="shared" si="3"/>
        <v>20</v>
      </c>
      <c r="L68" s="359">
        <v>4.5499999999999999E-2</v>
      </c>
      <c r="M68" s="127" t="e">
        <f t="shared" si="18"/>
        <v>#REF!</v>
      </c>
      <c r="N68" s="241" t="e">
        <f t="shared" si="16"/>
        <v>#REF!</v>
      </c>
      <c r="O68" s="122">
        <f t="shared" si="5"/>
        <v>7.674333333333333E-2</v>
      </c>
    </row>
    <row r="69" spans="1:15" ht="16.5" customHeight="1" x14ac:dyDescent="0.25">
      <c r="A69" s="120">
        <v>1</v>
      </c>
      <c r="B69" s="73" t="s">
        <v>63</v>
      </c>
      <c r="C69" s="72">
        <v>52.11</v>
      </c>
      <c r="D69" s="70">
        <f t="shared" si="14"/>
        <v>52.11</v>
      </c>
      <c r="E69" s="122">
        <f t="shared" si="19"/>
        <v>0</v>
      </c>
      <c r="F69" s="122">
        <f t="shared" si="8"/>
        <v>17.37</v>
      </c>
      <c r="G69" s="122">
        <f t="shared" si="20"/>
        <v>17.37</v>
      </c>
      <c r="H69" s="122">
        <f t="shared" si="15"/>
        <v>5.5584000000000007</v>
      </c>
      <c r="I69" s="311">
        <v>44617</v>
      </c>
      <c r="J69" s="124">
        <f t="shared" si="17"/>
        <v>44597</v>
      </c>
      <c r="K69" s="240">
        <f t="shared" si="3"/>
        <v>20</v>
      </c>
      <c r="L69" s="359">
        <v>4.5499999999999999E-2</v>
      </c>
      <c r="M69" s="127" t="e">
        <f t="shared" si="18"/>
        <v>#REF!</v>
      </c>
      <c r="N69" s="241" t="e">
        <f t="shared" si="16"/>
        <v>#REF!</v>
      </c>
      <c r="O69" s="122">
        <f t="shared" si="5"/>
        <v>0.79033500000000001</v>
      </c>
    </row>
    <row r="70" spans="1:15" ht="16.5" customHeight="1" x14ac:dyDescent="0.25">
      <c r="A70" s="120">
        <v>1</v>
      </c>
      <c r="B70" s="73" t="s">
        <v>64</v>
      </c>
      <c r="C70" s="72">
        <v>19.14</v>
      </c>
      <c r="D70" s="70">
        <f t="shared" si="14"/>
        <v>19.14</v>
      </c>
      <c r="E70" s="122">
        <f t="shared" si="19"/>
        <v>0</v>
      </c>
      <c r="F70" s="122">
        <f t="shared" ref="F70:F103" si="21">C70/3</f>
        <v>6.38</v>
      </c>
      <c r="G70" s="122">
        <f t="shared" si="20"/>
        <v>6.38</v>
      </c>
      <c r="H70" s="122">
        <f t="shared" si="15"/>
        <v>2.0415999999999999</v>
      </c>
      <c r="I70" s="311">
        <v>44617</v>
      </c>
      <c r="J70" s="124">
        <f t="shared" si="17"/>
        <v>44597</v>
      </c>
      <c r="K70" s="240">
        <f t="shared" ref="K70:K103" si="22">I70-J70</f>
        <v>20</v>
      </c>
      <c r="L70" s="359">
        <v>4.5499999999999999E-2</v>
      </c>
      <c r="M70" s="127" t="e">
        <f t="shared" si="18"/>
        <v>#REF!</v>
      </c>
      <c r="N70" s="241" t="e">
        <f t="shared" si="16"/>
        <v>#REF!</v>
      </c>
      <c r="O70" s="122">
        <f t="shared" ref="O70:O103" si="23">G70*L70</f>
        <v>0.29028999999999999</v>
      </c>
    </row>
    <row r="71" spans="1:15" ht="16.5" customHeight="1" x14ac:dyDescent="0.25">
      <c r="A71" s="120">
        <v>1</v>
      </c>
      <c r="B71" s="73" t="s">
        <v>65</v>
      </c>
      <c r="C71" s="72">
        <v>565.21</v>
      </c>
      <c r="D71" s="70">
        <f t="shared" si="14"/>
        <v>565.21</v>
      </c>
      <c r="E71" s="122">
        <f>C71-D71</f>
        <v>0</v>
      </c>
      <c r="F71" s="122">
        <f t="shared" si="21"/>
        <v>188.40333333333334</v>
      </c>
      <c r="G71" s="122">
        <f t="shared" si="20"/>
        <v>188.40333333333334</v>
      </c>
      <c r="H71" s="122">
        <f t="shared" si="15"/>
        <v>60.28906666666667</v>
      </c>
      <c r="I71" s="311">
        <v>44617</v>
      </c>
      <c r="J71" s="124">
        <f t="shared" si="17"/>
        <v>44597</v>
      </c>
      <c r="K71" s="240">
        <f t="shared" si="22"/>
        <v>20</v>
      </c>
      <c r="L71" s="359">
        <v>4.5499999999999999E-2</v>
      </c>
      <c r="M71" s="127" t="e">
        <f t="shared" si="18"/>
        <v>#REF!</v>
      </c>
      <c r="N71" s="241" t="e">
        <f t="shared" si="16"/>
        <v>#REF!</v>
      </c>
      <c r="O71" s="122">
        <f t="shared" si="23"/>
        <v>8.5723516666666661</v>
      </c>
    </row>
    <row r="72" spans="1:15" ht="16.5" customHeight="1" x14ac:dyDescent="0.25">
      <c r="A72" s="120">
        <v>1</v>
      </c>
      <c r="B72" s="73" t="s">
        <v>66</v>
      </c>
      <c r="C72" s="72">
        <v>1514.38</v>
      </c>
      <c r="D72" s="70">
        <f t="shared" si="14"/>
        <v>1514.38</v>
      </c>
      <c r="E72" s="122">
        <f t="shared" si="19"/>
        <v>0</v>
      </c>
      <c r="F72" s="122">
        <f t="shared" si="21"/>
        <v>504.79333333333335</v>
      </c>
      <c r="G72" s="122">
        <f t="shared" si="20"/>
        <v>504.79333333333335</v>
      </c>
      <c r="H72" s="122">
        <f t="shared" si="15"/>
        <v>161.53386666666668</v>
      </c>
      <c r="I72" s="311">
        <v>44623</v>
      </c>
      <c r="J72" s="124">
        <f t="shared" si="17"/>
        <v>44597</v>
      </c>
      <c r="K72" s="240">
        <f t="shared" si="22"/>
        <v>26</v>
      </c>
      <c r="L72" s="359">
        <v>4.5499999999999999E-2</v>
      </c>
      <c r="M72" s="127" t="e">
        <f t="shared" si="18"/>
        <v>#REF!</v>
      </c>
      <c r="N72" s="241" t="e">
        <f t="shared" si="16"/>
        <v>#REF!</v>
      </c>
      <c r="O72" s="122">
        <f t="shared" si="23"/>
        <v>22.968096666666668</v>
      </c>
    </row>
    <row r="73" spans="1:15" ht="16.5" customHeight="1" x14ac:dyDescent="0.25">
      <c r="A73" s="120">
        <v>1</v>
      </c>
      <c r="B73" s="73" t="s">
        <v>67</v>
      </c>
      <c r="C73" s="72">
        <v>82.68</v>
      </c>
      <c r="D73" s="70">
        <f t="shared" si="14"/>
        <v>82.68</v>
      </c>
      <c r="E73" s="122">
        <f t="shared" si="19"/>
        <v>0</v>
      </c>
      <c r="F73" s="122">
        <f t="shared" si="21"/>
        <v>27.560000000000002</v>
      </c>
      <c r="G73" s="122">
        <f t="shared" si="20"/>
        <v>27.560000000000002</v>
      </c>
      <c r="H73" s="122">
        <f t="shared" si="15"/>
        <v>8.8192000000000004</v>
      </c>
      <c r="I73" s="311">
        <v>44617</v>
      </c>
      <c r="J73" s="124">
        <f t="shared" si="17"/>
        <v>44597</v>
      </c>
      <c r="K73" s="240">
        <f t="shared" si="22"/>
        <v>20</v>
      </c>
      <c r="L73" s="359">
        <v>4.5499999999999999E-2</v>
      </c>
      <c r="M73" s="127" t="e">
        <f t="shared" si="18"/>
        <v>#REF!</v>
      </c>
      <c r="N73" s="241" t="e">
        <f t="shared" si="16"/>
        <v>#REF!</v>
      </c>
      <c r="O73" s="122">
        <f t="shared" si="23"/>
        <v>1.2539800000000001</v>
      </c>
    </row>
    <row r="74" spans="1:15" ht="16.5" customHeight="1" x14ac:dyDescent="0.25">
      <c r="A74" s="120">
        <v>1</v>
      </c>
      <c r="B74" s="73" t="s">
        <v>109</v>
      </c>
      <c r="C74" s="72">
        <v>59.32</v>
      </c>
      <c r="D74" s="70">
        <f t="shared" si="14"/>
        <v>59.32</v>
      </c>
      <c r="E74" s="122">
        <f t="shared" si="19"/>
        <v>0</v>
      </c>
      <c r="F74" s="122">
        <f t="shared" si="21"/>
        <v>19.773333333333333</v>
      </c>
      <c r="G74" s="122">
        <f t="shared" si="20"/>
        <v>19.773333333333333</v>
      </c>
      <c r="H74" s="122">
        <f t="shared" si="15"/>
        <v>6.327466666666667</v>
      </c>
      <c r="I74" s="311">
        <v>44617</v>
      </c>
      <c r="J74" s="124">
        <f t="shared" si="17"/>
        <v>44597</v>
      </c>
      <c r="K74" s="240">
        <f t="shared" si="22"/>
        <v>20</v>
      </c>
      <c r="L74" s="359">
        <v>4.5499999999999999E-2</v>
      </c>
      <c r="M74" s="127" t="e">
        <f t="shared" si="18"/>
        <v>#REF!</v>
      </c>
      <c r="N74" s="241" t="e">
        <f t="shared" si="16"/>
        <v>#REF!</v>
      </c>
      <c r="O74" s="122">
        <f t="shared" si="23"/>
        <v>0.89968666666666663</v>
      </c>
    </row>
    <row r="75" spans="1:15" ht="16.5" customHeight="1" x14ac:dyDescent="0.25">
      <c r="A75" s="120">
        <v>1</v>
      </c>
      <c r="B75" s="73" t="s">
        <v>69</v>
      </c>
      <c r="C75" s="72">
        <v>57.14</v>
      </c>
      <c r="D75" s="70">
        <f t="shared" si="14"/>
        <v>57.14</v>
      </c>
      <c r="E75" s="122">
        <f t="shared" si="19"/>
        <v>0</v>
      </c>
      <c r="F75" s="122">
        <f t="shared" si="21"/>
        <v>19.046666666666667</v>
      </c>
      <c r="G75" s="122">
        <f t="shared" si="20"/>
        <v>19.046666666666667</v>
      </c>
      <c r="H75" s="122">
        <f t="shared" si="15"/>
        <v>6.0949333333333335</v>
      </c>
      <c r="I75" s="311">
        <v>44617</v>
      </c>
      <c r="J75" s="124">
        <f t="shared" si="17"/>
        <v>44597</v>
      </c>
      <c r="K75" s="240">
        <f t="shared" si="22"/>
        <v>20</v>
      </c>
      <c r="L75" s="359">
        <v>4.5499999999999999E-2</v>
      </c>
      <c r="M75" s="127" t="e">
        <f t="shared" si="18"/>
        <v>#REF!</v>
      </c>
      <c r="N75" s="241" t="e">
        <f t="shared" si="16"/>
        <v>#REF!</v>
      </c>
      <c r="O75" s="122">
        <f t="shared" si="23"/>
        <v>0.8666233333333333</v>
      </c>
    </row>
    <row r="76" spans="1:15" ht="16.5" customHeight="1" x14ac:dyDescent="0.25">
      <c r="A76" s="120">
        <v>1</v>
      </c>
      <c r="B76" s="73" t="s">
        <v>72</v>
      </c>
      <c r="C76" s="72">
        <v>64.72</v>
      </c>
      <c r="D76" s="70"/>
      <c r="E76" s="122">
        <f t="shared" si="19"/>
        <v>64.72</v>
      </c>
      <c r="F76" s="122">
        <f t="shared" si="21"/>
        <v>21.573333333333334</v>
      </c>
      <c r="G76" s="122">
        <f t="shared" si="20"/>
        <v>86.293333333333337</v>
      </c>
      <c r="H76" s="122">
        <f t="shared" si="15"/>
        <v>6.9034666666666666</v>
      </c>
      <c r="I76" s="76"/>
      <c r="J76" s="124">
        <f t="shared" si="17"/>
        <v>44597</v>
      </c>
      <c r="K76" s="240">
        <f t="shared" si="22"/>
        <v>-44597</v>
      </c>
      <c r="L76" s="359">
        <v>4.5499999999999999E-2</v>
      </c>
      <c r="M76" s="127" t="e">
        <f t="shared" si="18"/>
        <v>#REF!</v>
      </c>
      <c r="N76" s="241" t="e">
        <f t="shared" si="16"/>
        <v>#REF!</v>
      </c>
      <c r="O76" s="122">
        <f t="shared" si="23"/>
        <v>3.9263466666666669</v>
      </c>
    </row>
    <row r="77" spans="1:15" ht="16.5" customHeight="1" x14ac:dyDescent="0.25">
      <c r="A77" s="120">
        <v>1</v>
      </c>
      <c r="B77" s="73" t="s">
        <v>73</v>
      </c>
      <c r="C77" s="72">
        <v>821.46</v>
      </c>
      <c r="D77" s="70">
        <f t="shared" si="14"/>
        <v>821.46</v>
      </c>
      <c r="E77" s="122">
        <f t="shared" si="19"/>
        <v>0</v>
      </c>
      <c r="F77" s="122">
        <f t="shared" si="21"/>
        <v>273.82</v>
      </c>
      <c r="G77" s="122">
        <f t="shared" si="20"/>
        <v>273.82</v>
      </c>
      <c r="H77" s="122">
        <f t="shared" si="15"/>
        <v>87.622399999999999</v>
      </c>
      <c r="I77" s="311">
        <v>44617</v>
      </c>
      <c r="J77" s="124">
        <f t="shared" si="17"/>
        <v>44597</v>
      </c>
      <c r="K77" s="240">
        <f t="shared" si="22"/>
        <v>20</v>
      </c>
      <c r="L77" s="359">
        <v>4.5499999999999999E-2</v>
      </c>
      <c r="M77" s="127" t="e">
        <f t="shared" si="18"/>
        <v>#REF!</v>
      </c>
      <c r="N77" s="241" t="e">
        <f t="shared" si="16"/>
        <v>#REF!</v>
      </c>
      <c r="O77" s="122">
        <f t="shared" si="23"/>
        <v>12.45881</v>
      </c>
    </row>
    <row r="78" spans="1:15" ht="16.5" customHeight="1" x14ac:dyDescent="0.25">
      <c r="A78" s="120">
        <v>1</v>
      </c>
      <c r="B78" s="73" t="s">
        <v>74</v>
      </c>
      <c r="C78" s="72">
        <v>3568.23</v>
      </c>
      <c r="D78" s="70">
        <v>1000</v>
      </c>
      <c r="E78" s="122">
        <f t="shared" si="19"/>
        <v>2568.23</v>
      </c>
      <c r="F78" s="122">
        <f t="shared" si="21"/>
        <v>1189.4100000000001</v>
      </c>
      <c r="G78" s="122">
        <f t="shared" si="20"/>
        <v>3757.6400000000003</v>
      </c>
      <c r="H78" s="122">
        <f t="shared" si="15"/>
        <v>380.61120000000005</v>
      </c>
      <c r="I78" s="76">
        <v>44617</v>
      </c>
      <c r="J78" s="124">
        <f t="shared" si="17"/>
        <v>44597</v>
      </c>
      <c r="K78" s="240">
        <f t="shared" si="22"/>
        <v>20</v>
      </c>
      <c r="L78" s="359">
        <v>4.5499999999999999E-2</v>
      </c>
      <c r="M78" s="127" t="e">
        <f t="shared" si="18"/>
        <v>#REF!</v>
      </c>
      <c r="N78" s="241" t="e">
        <f t="shared" si="16"/>
        <v>#REF!</v>
      </c>
      <c r="O78" s="122">
        <f t="shared" si="23"/>
        <v>170.97262000000001</v>
      </c>
    </row>
    <row r="79" spans="1:15" ht="16.5" customHeight="1" x14ac:dyDescent="0.25">
      <c r="A79" s="120">
        <v>1</v>
      </c>
      <c r="B79" s="73" t="s">
        <v>10</v>
      </c>
      <c r="C79" s="72">
        <v>118.18</v>
      </c>
      <c r="D79" s="70">
        <f t="shared" si="14"/>
        <v>118.18</v>
      </c>
      <c r="E79" s="122">
        <f t="shared" si="19"/>
        <v>0</v>
      </c>
      <c r="F79" s="122">
        <f t="shared" si="21"/>
        <v>39.393333333333338</v>
      </c>
      <c r="G79" s="122">
        <f t="shared" si="20"/>
        <v>39.393333333333338</v>
      </c>
      <c r="H79" s="122">
        <f t="shared" si="15"/>
        <v>12.605866666666669</v>
      </c>
      <c r="I79" s="311">
        <v>44617</v>
      </c>
      <c r="J79" s="124">
        <f t="shared" si="17"/>
        <v>44597</v>
      </c>
      <c r="K79" s="240">
        <f t="shared" si="22"/>
        <v>20</v>
      </c>
      <c r="L79" s="359">
        <v>4.5499999999999999E-2</v>
      </c>
      <c r="M79" s="127" t="e">
        <f t="shared" si="18"/>
        <v>#REF!</v>
      </c>
      <c r="N79" s="241" t="e">
        <f t="shared" si="16"/>
        <v>#REF!</v>
      </c>
      <c r="O79" s="122">
        <f t="shared" si="23"/>
        <v>1.7923966666666669</v>
      </c>
    </row>
    <row r="80" spans="1:15" ht="16.5" customHeight="1" x14ac:dyDescent="0.25">
      <c r="A80" s="120">
        <v>1</v>
      </c>
      <c r="B80" s="73" t="s">
        <v>77</v>
      </c>
      <c r="C80" s="72">
        <v>1942.47</v>
      </c>
      <c r="D80" s="70">
        <v>1000</v>
      </c>
      <c r="E80" s="122"/>
      <c r="F80" s="122">
        <f t="shared" si="21"/>
        <v>647.49</v>
      </c>
      <c r="G80" s="122">
        <f t="shared" si="20"/>
        <v>647.49</v>
      </c>
      <c r="H80" s="122">
        <f t="shared" si="15"/>
        <v>207.1968</v>
      </c>
      <c r="I80" s="76">
        <v>44617</v>
      </c>
      <c r="J80" s="124">
        <f t="shared" si="17"/>
        <v>44597</v>
      </c>
      <c r="K80" s="240">
        <f t="shared" si="22"/>
        <v>20</v>
      </c>
      <c r="L80" s="359">
        <v>4.5499999999999999E-2</v>
      </c>
      <c r="M80" s="127" t="e">
        <f t="shared" si="18"/>
        <v>#REF!</v>
      </c>
      <c r="N80" s="241" t="e">
        <f t="shared" si="16"/>
        <v>#REF!</v>
      </c>
      <c r="O80" s="122">
        <f t="shared" si="23"/>
        <v>29.460795000000001</v>
      </c>
    </row>
    <row r="81" spans="1:15" ht="16.5" customHeight="1" x14ac:dyDescent="0.25">
      <c r="A81" s="120">
        <v>1</v>
      </c>
      <c r="B81" s="73" t="s">
        <v>77</v>
      </c>
      <c r="C81" s="72"/>
      <c r="D81" s="70">
        <f>ROUND(C80*A80,2)-D80</f>
        <v>942.47</v>
      </c>
      <c r="E81" s="122">
        <f>C80-D80-D81</f>
        <v>0</v>
      </c>
      <c r="F81" s="122">
        <f t="shared" si="21"/>
        <v>0</v>
      </c>
      <c r="G81" s="122">
        <f t="shared" si="20"/>
        <v>0</v>
      </c>
      <c r="H81" s="122">
        <f t="shared" si="15"/>
        <v>0</v>
      </c>
      <c r="I81" s="76">
        <v>44623</v>
      </c>
      <c r="J81" s="124">
        <f t="shared" si="17"/>
        <v>44597</v>
      </c>
      <c r="K81" s="240">
        <f t="shared" si="22"/>
        <v>26</v>
      </c>
      <c r="L81" s="359">
        <v>4.5499999999999999E-2</v>
      </c>
      <c r="M81" s="127" t="e">
        <f t="shared" si="18"/>
        <v>#REF!</v>
      </c>
      <c r="N81" s="241" t="e">
        <f t="shared" si="16"/>
        <v>#REF!</v>
      </c>
      <c r="O81" s="122">
        <f t="shared" si="23"/>
        <v>0</v>
      </c>
    </row>
    <row r="82" spans="1:15" ht="16.5" customHeight="1" x14ac:dyDescent="0.25">
      <c r="A82" s="120">
        <v>1</v>
      </c>
      <c r="B82" s="73" t="s">
        <v>78</v>
      </c>
      <c r="C82" s="72">
        <v>2298.42</v>
      </c>
      <c r="D82" s="70">
        <v>1000</v>
      </c>
      <c r="E82" s="122">
        <f t="shared" si="19"/>
        <v>1298.42</v>
      </c>
      <c r="F82" s="122">
        <f t="shared" si="21"/>
        <v>766.14</v>
      </c>
      <c r="G82" s="122">
        <f t="shared" si="20"/>
        <v>2064.56</v>
      </c>
      <c r="H82" s="122">
        <f t="shared" si="15"/>
        <v>245.16480000000001</v>
      </c>
      <c r="I82" s="76">
        <v>44617</v>
      </c>
      <c r="J82" s="124">
        <f t="shared" si="17"/>
        <v>44597</v>
      </c>
      <c r="K82" s="240">
        <f t="shared" si="22"/>
        <v>20</v>
      </c>
      <c r="L82" s="359">
        <v>4.5499999999999999E-2</v>
      </c>
      <c r="M82" s="127" t="e">
        <f t="shared" si="18"/>
        <v>#REF!</v>
      </c>
      <c r="N82" s="241" t="e">
        <f t="shared" si="16"/>
        <v>#REF!</v>
      </c>
      <c r="O82" s="122">
        <f t="shared" si="23"/>
        <v>93.937479999999994</v>
      </c>
    </row>
    <row r="83" spans="1:15" ht="16.5" customHeight="1" x14ac:dyDescent="0.25">
      <c r="A83" s="120">
        <v>1</v>
      </c>
      <c r="B83" s="73" t="s">
        <v>79</v>
      </c>
      <c r="C83" s="72">
        <v>1622.45</v>
      </c>
      <c r="D83" s="70">
        <f t="shared" si="14"/>
        <v>1622.45</v>
      </c>
      <c r="E83" s="122">
        <f t="shared" si="19"/>
        <v>0</v>
      </c>
      <c r="F83" s="122">
        <f t="shared" si="21"/>
        <v>540.81666666666672</v>
      </c>
      <c r="G83" s="122">
        <f t="shared" si="20"/>
        <v>540.81666666666672</v>
      </c>
      <c r="H83" s="122">
        <f t="shared" si="15"/>
        <v>173.06133333333335</v>
      </c>
      <c r="I83" s="311">
        <v>44603</v>
      </c>
      <c r="J83" s="124">
        <f t="shared" si="17"/>
        <v>44597</v>
      </c>
      <c r="K83" s="240">
        <f t="shared" si="22"/>
        <v>6</v>
      </c>
      <c r="L83" s="359">
        <v>4.5499999999999999E-2</v>
      </c>
      <c r="M83" s="127" t="e">
        <f t="shared" si="18"/>
        <v>#REF!</v>
      </c>
      <c r="N83" s="241" t="e">
        <f t="shared" si="16"/>
        <v>#REF!</v>
      </c>
      <c r="O83" s="122">
        <f t="shared" si="23"/>
        <v>24.607158333333334</v>
      </c>
    </row>
    <row r="84" spans="1:15" ht="16.5" customHeight="1" x14ac:dyDescent="0.25">
      <c r="A84" s="120">
        <v>1</v>
      </c>
      <c r="B84" s="73" t="s">
        <v>80</v>
      </c>
      <c r="C84" s="72">
        <v>2228.21</v>
      </c>
      <c r="D84" s="70">
        <v>1000</v>
      </c>
      <c r="E84" s="122">
        <f t="shared" si="19"/>
        <v>1228.21</v>
      </c>
      <c r="F84" s="122">
        <f t="shared" si="21"/>
        <v>742.73666666666668</v>
      </c>
      <c r="G84" s="122">
        <f t="shared" si="20"/>
        <v>1970.9466666666667</v>
      </c>
      <c r="H84" s="122">
        <f t="shared" si="15"/>
        <v>237.67573333333334</v>
      </c>
      <c r="I84" s="76">
        <v>44617</v>
      </c>
      <c r="J84" s="124">
        <f t="shared" si="17"/>
        <v>44597</v>
      </c>
      <c r="K84" s="240">
        <f t="shared" si="22"/>
        <v>20</v>
      </c>
      <c r="L84" s="359">
        <v>4.5499999999999999E-2</v>
      </c>
      <c r="M84" s="127" t="e">
        <f t="shared" si="18"/>
        <v>#REF!</v>
      </c>
      <c r="N84" s="241" t="e">
        <f t="shared" si="16"/>
        <v>#REF!</v>
      </c>
      <c r="O84" s="122">
        <f t="shared" si="23"/>
        <v>89.67807333333333</v>
      </c>
    </row>
    <row r="85" spans="1:15" ht="16.5" customHeight="1" x14ac:dyDescent="0.25">
      <c r="A85" s="120">
        <v>1</v>
      </c>
      <c r="B85" s="73" t="s">
        <v>81</v>
      </c>
      <c r="C85" s="72">
        <v>2440.41</v>
      </c>
      <c r="D85" s="70">
        <v>1500</v>
      </c>
      <c r="E85" s="122"/>
      <c r="F85" s="122">
        <f t="shared" si="21"/>
        <v>813.46999999999991</v>
      </c>
      <c r="G85" s="122">
        <f t="shared" si="20"/>
        <v>813.46999999999991</v>
      </c>
      <c r="H85" s="122">
        <f t="shared" si="15"/>
        <v>260.31039999999996</v>
      </c>
      <c r="I85" s="311">
        <v>44602</v>
      </c>
      <c r="J85" s="124">
        <f t="shared" si="17"/>
        <v>44597</v>
      </c>
      <c r="K85" s="240">
        <f t="shared" si="22"/>
        <v>5</v>
      </c>
      <c r="L85" s="359">
        <v>4.5499999999999999E-2</v>
      </c>
      <c r="M85" s="127" t="e">
        <f t="shared" si="18"/>
        <v>#REF!</v>
      </c>
      <c r="N85" s="241" t="e">
        <f t="shared" si="16"/>
        <v>#REF!</v>
      </c>
      <c r="O85" s="122">
        <f t="shared" si="23"/>
        <v>37.012884999999997</v>
      </c>
    </row>
    <row r="86" spans="1:15" ht="16.5" customHeight="1" x14ac:dyDescent="0.25">
      <c r="A86" s="120">
        <v>1</v>
      </c>
      <c r="B86" s="73" t="s">
        <v>81</v>
      </c>
      <c r="C86" s="72"/>
      <c r="D86" s="70">
        <f>ROUND(C85*A85,2)-D85</f>
        <v>940.40999999999985</v>
      </c>
      <c r="E86" s="122">
        <f>C85-D85-D86</f>
        <v>0</v>
      </c>
      <c r="F86" s="122">
        <f t="shared" si="21"/>
        <v>0</v>
      </c>
      <c r="G86" s="122">
        <f t="shared" si="20"/>
        <v>0</v>
      </c>
      <c r="H86" s="122">
        <f t="shared" si="15"/>
        <v>0</v>
      </c>
      <c r="I86" s="311">
        <v>44623</v>
      </c>
      <c r="J86" s="124">
        <f t="shared" si="17"/>
        <v>44597</v>
      </c>
      <c r="K86" s="240">
        <f t="shared" si="22"/>
        <v>26</v>
      </c>
      <c r="L86" s="359">
        <v>4.5499999999999999E-2</v>
      </c>
      <c r="M86" s="127" t="e">
        <f t="shared" si="18"/>
        <v>#REF!</v>
      </c>
      <c r="N86" s="241" t="e">
        <f t="shared" si="16"/>
        <v>#REF!</v>
      </c>
      <c r="O86" s="122">
        <f t="shared" si="23"/>
        <v>0</v>
      </c>
    </row>
    <row r="87" spans="1:15" ht="16.5" customHeight="1" x14ac:dyDescent="0.25">
      <c r="A87" s="120">
        <v>1</v>
      </c>
      <c r="B87" s="73" t="s">
        <v>112</v>
      </c>
      <c r="C87" s="72">
        <v>10.66</v>
      </c>
      <c r="D87" s="70">
        <f t="shared" si="14"/>
        <v>10.66</v>
      </c>
      <c r="E87" s="122">
        <f t="shared" si="19"/>
        <v>0</v>
      </c>
      <c r="F87" s="122">
        <f t="shared" si="21"/>
        <v>3.5533333333333332</v>
      </c>
      <c r="G87" s="122">
        <f t="shared" si="20"/>
        <v>3.5533333333333332</v>
      </c>
      <c r="H87" s="122">
        <f t="shared" si="15"/>
        <v>1.1370666666666667</v>
      </c>
      <c r="I87" s="311">
        <v>44623</v>
      </c>
      <c r="J87" s="124">
        <f t="shared" si="17"/>
        <v>44597</v>
      </c>
      <c r="K87" s="240">
        <f t="shared" si="22"/>
        <v>26</v>
      </c>
      <c r="L87" s="359">
        <v>4.5499999999999999E-2</v>
      </c>
      <c r="M87" s="127" t="e">
        <f t="shared" si="18"/>
        <v>#REF!</v>
      </c>
      <c r="N87" s="241" t="e">
        <f t="shared" si="16"/>
        <v>#REF!</v>
      </c>
      <c r="O87" s="122">
        <f t="shared" si="23"/>
        <v>0.16167666666666666</v>
      </c>
    </row>
    <row r="88" spans="1:15" ht="16.5" customHeight="1" x14ac:dyDescent="0.25">
      <c r="A88" s="120">
        <v>1</v>
      </c>
      <c r="B88" s="73" t="s">
        <v>85</v>
      </c>
      <c r="C88" s="72">
        <v>12.31</v>
      </c>
      <c r="D88" s="70">
        <f t="shared" si="14"/>
        <v>12.31</v>
      </c>
      <c r="E88" s="122">
        <f t="shared" si="19"/>
        <v>0</v>
      </c>
      <c r="F88" s="122">
        <f t="shared" si="21"/>
        <v>4.1033333333333335</v>
      </c>
      <c r="G88" s="122">
        <f t="shared" si="20"/>
        <v>4.1033333333333335</v>
      </c>
      <c r="H88" s="122">
        <f t="shared" si="15"/>
        <v>1.3130666666666668</v>
      </c>
      <c r="I88" s="311">
        <v>44617</v>
      </c>
      <c r="J88" s="124">
        <f t="shared" si="17"/>
        <v>44597</v>
      </c>
      <c r="K88" s="240">
        <f t="shared" si="22"/>
        <v>20</v>
      </c>
      <c r="L88" s="359">
        <v>4.5499999999999999E-2</v>
      </c>
      <c r="M88" s="127" t="e">
        <f t="shared" si="18"/>
        <v>#REF!</v>
      </c>
      <c r="N88" s="241" t="e">
        <f t="shared" si="16"/>
        <v>#REF!</v>
      </c>
      <c r="O88" s="122">
        <f t="shared" si="23"/>
        <v>0.18670166666666668</v>
      </c>
    </row>
    <row r="89" spans="1:15" ht="16.5" customHeight="1" x14ac:dyDescent="0.25">
      <c r="A89" s="120">
        <v>1</v>
      </c>
      <c r="B89" s="73" t="s">
        <v>87</v>
      </c>
      <c r="C89" s="72">
        <v>2.54</v>
      </c>
      <c r="D89" s="70">
        <f t="shared" si="14"/>
        <v>2.54</v>
      </c>
      <c r="E89" s="122">
        <f t="shared" si="19"/>
        <v>0</v>
      </c>
      <c r="F89" s="122">
        <f t="shared" si="21"/>
        <v>0.84666666666666668</v>
      </c>
      <c r="G89" s="122">
        <f t="shared" si="20"/>
        <v>0.84666666666666668</v>
      </c>
      <c r="H89" s="122">
        <f t="shared" si="15"/>
        <v>0.27093333333333336</v>
      </c>
      <c r="I89" s="311">
        <v>44617</v>
      </c>
      <c r="J89" s="124">
        <f t="shared" si="17"/>
        <v>44597</v>
      </c>
      <c r="K89" s="240">
        <f t="shared" si="22"/>
        <v>20</v>
      </c>
      <c r="L89" s="359">
        <v>4.5499999999999999E-2</v>
      </c>
      <c r="M89" s="127" t="e">
        <f t="shared" si="18"/>
        <v>#REF!</v>
      </c>
      <c r="N89" s="241" t="e">
        <f t="shared" si="16"/>
        <v>#REF!</v>
      </c>
      <c r="O89" s="122">
        <f t="shared" si="23"/>
        <v>3.8523333333333333E-2</v>
      </c>
    </row>
    <row r="90" spans="1:15" ht="16.5" customHeight="1" x14ac:dyDescent="0.25">
      <c r="A90" s="120">
        <v>1</v>
      </c>
      <c r="B90" s="73" t="s">
        <v>88</v>
      </c>
      <c r="C90" s="72">
        <v>112.94</v>
      </c>
      <c r="D90" s="70">
        <f t="shared" si="14"/>
        <v>112.94</v>
      </c>
      <c r="E90" s="122">
        <f t="shared" si="19"/>
        <v>0</v>
      </c>
      <c r="F90" s="122">
        <f t="shared" si="21"/>
        <v>37.646666666666668</v>
      </c>
      <c r="G90" s="122">
        <f t="shared" si="20"/>
        <v>37.646666666666668</v>
      </c>
      <c r="H90" s="122">
        <f t="shared" si="15"/>
        <v>12.046933333333333</v>
      </c>
      <c r="I90" s="311">
        <v>44596</v>
      </c>
      <c r="J90" s="124">
        <f t="shared" si="17"/>
        <v>44597</v>
      </c>
      <c r="K90" s="240">
        <v>0</v>
      </c>
      <c r="L90" s="359">
        <v>4.5499999999999999E-2</v>
      </c>
      <c r="M90" s="127" t="e">
        <f t="shared" si="18"/>
        <v>#REF!</v>
      </c>
      <c r="N90" s="241" t="e">
        <f t="shared" si="16"/>
        <v>#REF!</v>
      </c>
      <c r="O90" s="122">
        <f t="shared" si="23"/>
        <v>1.7129233333333334</v>
      </c>
    </row>
    <row r="91" spans="1:15" ht="16.5" customHeight="1" x14ac:dyDescent="0.25">
      <c r="A91" s="120">
        <v>1</v>
      </c>
      <c r="B91" s="73" t="s">
        <v>89</v>
      </c>
      <c r="C91" s="72">
        <v>63.33</v>
      </c>
      <c r="D91" s="70">
        <f t="shared" si="14"/>
        <v>63.33</v>
      </c>
      <c r="E91" s="122">
        <f t="shared" si="19"/>
        <v>0</v>
      </c>
      <c r="F91" s="122">
        <f t="shared" si="21"/>
        <v>21.11</v>
      </c>
      <c r="G91" s="122">
        <f t="shared" si="20"/>
        <v>21.11</v>
      </c>
      <c r="H91" s="122">
        <f t="shared" si="15"/>
        <v>6.7552000000000003</v>
      </c>
      <c r="I91" s="311">
        <v>44617</v>
      </c>
      <c r="J91" s="124">
        <f t="shared" si="17"/>
        <v>44597</v>
      </c>
      <c r="K91" s="240">
        <f t="shared" si="22"/>
        <v>20</v>
      </c>
      <c r="L91" s="359">
        <v>4.5499999999999999E-2</v>
      </c>
      <c r="M91" s="127" t="e">
        <f t="shared" si="18"/>
        <v>#REF!</v>
      </c>
      <c r="N91" s="241" t="e">
        <f t="shared" si="16"/>
        <v>#REF!</v>
      </c>
      <c r="O91" s="122">
        <f t="shared" si="23"/>
        <v>0.96050499999999994</v>
      </c>
    </row>
    <row r="92" spans="1:15" ht="16.5" customHeight="1" x14ac:dyDescent="0.25">
      <c r="A92" s="120">
        <v>1</v>
      </c>
      <c r="B92" s="73" t="s">
        <v>113</v>
      </c>
      <c r="C92" s="72">
        <v>385.38</v>
      </c>
      <c r="D92" s="70">
        <f t="shared" si="14"/>
        <v>385.38</v>
      </c>
      <c r="E92" s="122">
        <f t="shared" si="19"/>
        <v>0</v>
      </c>
      <c r="F92" s="122">
        <f t="shared" si="21"/>
        <v>128.46</v>
      </c>
      <c r="G92" s="122">
        <f t="shared" si="20"/>
        <v>128.46</v>
      </c>
      <c r="H92" s="122">
        <f t="shared" si="15"/>
        <v>41.107200000000006</v>
      </c>
      <c r="I92" s="311">
        <v>44602</v>
      </c>
      <c r="J92" s="124">
        <f t="shared" si="17"/>
        <v>44597</v>
      </c>
      <c r="K92" s="240">
        <f t="shared" si="22"/>
        <v>5</v>
      </c>
      <c r="L92" s="359">
        <v>4.5499999999999999E-2</v>
      </c>
      <c r="M92" s="127" t="e">
        <f t="shared" si="18"/>
        <v>#REF!</v>
      </c>
      <c r="N92" s="241" t="e">
        <f t="shared" si="16"/>
        <v>#REF!</v>
      </c>
      <c r="O92" s="122">
        <f t="shared" si="23"/>
        <v>5.8449300000000006</v>
      </c>
    </row>
    <row r="93" spans="1:15" ht="16.5" customHeight="1" x14ac:dyDescent="0.25">
      <c r="A93" s="120">
        <v>1</v>
      </c>
      <c r="B93" s="73" t="s">
        <v>90</v>
      </c>
      <c r="C93" s="72">
        <v>13.19</v>
      </c>
      <c r="D93" s="70">
        <f t="shared" si="14"/>
        <v>13.19</v>
      </c>
      <c r="E93" s="122">
        <f t="shared" si="19"/>
        <v>0</v>
      </c>
      <c r="F93" s="122">
        <f t="shared" si="21"/>
        <v>4.3966666666666665</v>
      </c>
      <c r="G93" s="122">
        <f t="shared" si="20"/>
        <v>4.3966666666666665</v>
      </c>
      <c r="H93" s="122">
        <f t="shared" si="15"/>
        <v>1.4069333333333334</v>
      </c>
      <c r="I93" s="311">
        <v>44617</v>
      </c>
      <c r="J93" s="124">
        <f t="shared" si="17"/>
        <v>44597</v>
      </c>
      <c r="K93" s="240">
        <f t="shared" si="22"/>
        <v>20</v>
      </c>
      <c r="L93" s="359">
        <v>4.5499999999999999E-2</v>
      </c>
      <c r="M93" s="127" t="e">
        <f t="shared" si="18"/>
        <v>#REF!</v>
      </c>
      <c r="N93" s="241" t="e">
        <f t="shared" si="16"/>
        <v>#REF!</v>
      </c>
      <c r="O93" s="122">
        <f t="shared" si="23"/>
        <v>0.20004833333333333</v>
      </c>
    </row>
    <row r="94" spans="1:15" ht="16.5" customHeight="1" x14ac:dyDescent="0.25">
      <c r="A94" s="120">
        <v>1</v>
      </c>
      <c r="B94" s="73" t="s">
        <v>93</v>
      </c>
      <c r="C94" s="72">
        <v>56.47</v>
      </c>
      <c r="D94" s="70">
        <f t="shared" si="14"/>
        <v>56.47</v>
      </c>
      <c r="E94" s="122">
        <f t="shared" si="19"/>
        <v>0</v>
      </c>
      <c r="F94" s="122">
        <f t="shared" si="21"/>
        <v>18.823333333333334</v>
      </c>
      <c r="G94" s="122">
        <f t="shared" si="20"/>
        <v>18.823333333333334</v>
      </c>
      <c r="H94" s="122">
        <f t="shared" si="15"/>
        <v>6.0234666666666667</v>
      </c>
      <c r="I94" s="311">
        <v>44617</v>
      </c>
      <c r="J94" s="124">
        <f t="shared" si="17"/>
        <v>44597</v>
      </c>
      <c r="K94" s="240">
        <f t="shared" si="22"/>
        <v>20</v>
      </c>
      <c r="L94" s="359">
        <v>4.5499999999999999E-2</v>
      </c>
      <c r="M94" s="127" t="e">
        <f t="shared" si="18"/>
        <v>#REF!</v>
      </c>
      <c r="N94" s="241" t="e">
        <f t="shared" si="16"/>
        <v>#REF!</v>
      </c>
      <c r="O94" s="122">
        <f t="shared" si="23"/>
        <v>0.85646166666666668</v>
      </c>
    </row>
    <row r="95" spans="1:15" ht="16.5" customHeight="1" x14ac:dyDescent="0.25">
      <c r="A95" s="120">
        <v>1</v>
      </c>
      <c r="B95" s="73" t="s">
        <v>94</v>
      </c>
      <c r="C95" s="72">
        <v>2033</v>
      </c>
      <c r="D95" s="70">
        <v>1000</v>
      </c>
      <c r="E95" s="122">
        <f t="shared" si="19"/>
        <v>1033</v>
      </c>
      <c r="F95" s="122">
        <f t="shared" si="21"/>
        <v>677.66666666666663</v>
      </c>
      <c r="G95" s="122">
        <f t="shared" si="20"/>
        <v>1710.6666666666665</v>
      </c>
      <c r="H95" s="122">
        <f t="shared" si="15"/>
        <v>216.85333333333332</v>
      </c>
      <c r="I95" s="76">
        <v>44617</v>
      </c>
      <c r="J95" s="124">
        <f t="shared" si="17"/>
        <v>44597</v>
      </c>
      <c r="K95" s="240">
        <f t="shared" si="22"/>
        <v>20</v>
      </c>
      <c r="L95" s="359">
        <v>4.5499999999999999E-2</v>
      </c>
      <c r="M95" s="127" t="e">
        <f t="shared" si="18"/>
        <v>#REF!</v>
      </c>
      <c r="N95" s="241" t="e">
        <f t="shared" si="16"/>
        <v>#REF!</v>
      </c>
      <c r="O95" s="122">
        <f t="shared" si="23"/>
        <v>77.835333333333324</v>
      </c>
    </row>
    <row r="96" spans="1:15" ht="16.5" customHeight="1" x14ac:dyDescent="0.25">
      <c r="A96" s="120">
        <v>1</v>
      </c>
      <c r="B96" s="73" t="s">
        <v>95</v>
      </c>
      <c r="C96" s="72">
        <v>1080.69</v>
      </c>
      <c r="D96" s="70">
        <f t="shared" si="14"/>
        <v>1080.69</v>
      </c>
      <c r="E96" s="122">
        <f t="shared" si="19"/>
        <v>0</v>
      </c>
      <c r="F96" s="122">
        <f t="shared" si="21"/>
        <v>360.23</v>
      </c>
      <c r="G96" s="122">
        <f t="shared" si="20"/>
        <v>360.23</v>
      </c>
      <c r="H96" s="122">
        <f t="shared" si="15"/>
        <v>115.2736</v>
      </c>
      <c r="I96" s="76">
        <v>44623</v>
      </c>
      <c r="J96" s="124">
        <f t="shared" si="17"/>
        <v>44597</v>
      </c>
      <c r="K96" s="240">
        <f t="shared" si="22"/>
        <v>26</v>
      </c>
      <c r="L96" s="359">
        <v>4.5499999999999999E-2</v>
      </c>
      <c r="M96" s="127" t="e">
        <f t="shared" si="18"/>
        <v>#REF!</v>
      </c>
      <c r="N96" s="241" t="e">
        <f t="shared" si="16"/>
        <v>#REF!</v>
      </c>
      <c r="O96" s="122">
        <f t="shared" si="23"/>
        <v>16.390464999999999</v>
      </c>
    </row>
    <row r="97" spans="1:15" ht="16.5" customHeight="1" x14ac:dyDescent="0.25">
      <c r="A97" s="120">
        <v>1</v>
      </c>
      <c r="B97" s="73" t="s">
        <v>223</v>
      </c>
      <c r="C97" s="72">
        <v>770.84</v>
      </c>
      <c r="D97" s="70">
        <f t="shared" si="14"/>
        <v>770.84</v>
      </c>
      <c r="E97" s="122">
        <f t="shared" si="19"/>
        <v>0</v>
      </c>
      <c r="F97" s="122">
        <f t="shared" si="21"/>
        <v>256.94666666666666</v>
      </c>
      <c r="G97" s="122">
        <f t="shared" si="20"/>
        <v>256.94666666666666</v>
      </c>
      <c r="H97" s="122">
        <f t="shared" si="15"/>
        <v>82.22293333333333</v>
      </c>
      <c r="I97" s="311">
        <v>44602</v>
      </c>
      <c r="J97" s="124">
        <f t="shared" si="17"/>
        <v>44597</v>
      </c>
      <c r="K97" s="240">
        <f t="shared" si="22"/>
        <v>5</v>
      </c>
      <c r="L97" s="359">
        <v>4.5499999999999999E-2</v>
      </c>
      <c r="M97" s="127" t="e">
        <f t="shared" si="18"/>
        <v>#REF!</v>
      </c>
      <c r="N97" s="241" t="e">
        <f t="shared" si="16"/>
        <v>#REF!</v>
      </c>
      <c r="O97" s="122">
        <f t="shared" si="23"/>
        <v>11.691073333333332</v>
      </c>
    </row>
    <row r="98" spans="1:15" ht="16.5" customHeight="1" x14ac:dyDescent="0.25">
      <c r="A98" s="120"/>
      <c r="B98" s="73" t="s">
        <v>15</v>
      </c>
      <c r="C98" s="72">
        <v>11.36</v>
      </c>
      <c r="D98" s="70">
        <v>11.36</v>
      </c>
      <c r="E98" s="122">
        <f t="shared" ref="E98:E102" si="24">C98-D98</f>
        <v>0</v>
      </c>
      <c r="F98" s="122">
        <f t="shared" si="21"/>
        <v>3.7866666666666666</v>
      </c>
      <c r="G98" s="122">
        <f t="shared" ref="G98:G102" si="25">E98+F98</f>
        <v>3.7866666666666666</v>
      </c>
      <c r="H98" s="122">
        <f t="shared" ref="H98:H102" si="26">SUM(C98+F98)*8%</f>
        <v>1.2117333333333333</v>
      </c>
      <c r="I98" s="311">
        <v>44617</v>
      </c>
      <c r="J98" s="124">
        <f t="shared" si="17"/>
        <v>44597</v>
      </c>
      <c r="K98" s="240">
        <f t="shared" si="22"/>
        <v>20</v>
      </c>
      <c r="L98" s="359">
        <v>4.5499999999999999E-2</v>
      </c>
      <c r="M98" s="127" t="e">
        <f t="shared" si="18"/>
        <v>#REF!</v>
      </c>
      <c r="N98" s="241" t="e">
        <f t="shared" ref="N98:N102" si="27">M98-J98</f>
        <v>#REF!</v>
      </c>
      <c r="O98" s="122">
        <f t="shared" si="23"/>
        <v>0.17229333333333333</v>
      </c>
    </row>
    <row r="99" spans="1:15" ht="16.5" customHeight="1" x14ac:dyDescent="0.25">
      <c r="A99" s="120"/>
      <c r="B99" s="73" t="s">
        <v>136</v>
      </c>
      <c r="C99" s="72">
        <v>770.84</v>
      </c>
      <c r="D99" s="70">
        <v>770.84</v>
      </c>
      <c r="E99" s="122">
        <f t="shared" si="24"/>
        <v>0</v>
      </c>
      <c r="F99" s="122">
        <f t="shared" si="21"/>
        <v>256.94666666666666</v>
      </c>
      <c r="G99" s="122">
        <f t="shared" si="25"/>
        <v>256.94666666666666</v>
      </c>
      <c r="H99" s="122">
        <f t="shared" si="26"/>
        <v>82.22293333333333</v>
      </c>
      <c r="I99" s="311">
        <v>44602</v>
      </c>
      <c r="J99" s="124" t="e">
        <f>#REF!</f>
        <v>#REF!</v>
      </c>
      <c r="K99" s="240" t="e">
        <f t="shared" si="22"/>
        <v>#REF!</v>
      </c>
      <c r="L99" s="359">
        <v>4.5499999999999999E-2</v>
      </c>
      <c r="M99" s="127" t="e">
        <f>M97</f>
        <v>#REF!</v>
      </c>
      <c r="N99" s="241" t="e">
        <f t="shared" si="27"/>
        <v>#REF!</v>
      </c>
      <c r="O99" s="122">
        <f t="shared" si="23"/>
        <v>11.691073333333332</v>
      </c>
    </row>
    <row r="100" spans="1:15" ht="16.5" customHeight="1" x14ac:dyDescent="0.25">
      <c r="A100" s="120"/>
      <c r="B100" s="73" t="s">
        <v>98</v>
      </c>
      <c r="C100" s="72">
        <v>2629.71</v>
      </c>
      <c r="D100" s="70"/>
      <c r="E100" s="122">
        <f t="shared" si="24"/>
        <v>2629.71</v>
      </c>
      <c r="F100" s="122">
        <f t="shared" si="21"/>
        <v>876.57</v>
      </c>
      <c r="G100" s="122">
        <f t="shared" si="25"/>
        <v>3506.28</v>
      </c>
      <c r="H100" s="122">
        <f t="shared" si="26"/>
        <v>280.50240000000002</v>
      </c>
      <c r="I100" s="76"/>
      <c r="J100" s="124" t="e">
        <f t="shared" si="17"/>
        <v>#REF!</v>
      </c>
      <c r="K100" s="240">
        <v>0</v>
      </c>
      <c r="L100" s="359">
        <v>4.5499999999999999E-2</v>
      </c>
      <c r="M100" s="127" t="e">
        <f>M98</f>
        <v>#REF!</v>
      </c>
      <c r="N100" s="241" t="e">
        <f t="shared" si="27"/>
        <v>#REF!</v>
      </c>
      <c r="O100" s="122">
        <f t="shared" si="23"/>
        <v>159.53574</v>
      </c>
    </row>
    <row r="101" spans="1:15" ht="16.5" customHeight="1" x14ac:dyDescent="0.25">
      <c r="A101" s="120"/>
      <c r="B101" s="73" t="s">
        <v>99</v>
      </c>
      <c r="C101" s="72">
        <v>3063.04</v>
      </c>
      <c r="D101" s="70">
        <v>1000</v>
      </c>
      <c r="E101" s="122">
        <f t="shared" si="24"/>
        <v>2063.04</v>
      </c>
      <c r="F101" s="122">
        <f t="shared" si="21"/>
        <v>1021.0133333333333</v>
      </c>
      <c r="G101" s="122">
        <f t="shared" si="25"/>
        <v>3084.0533333333333</v>
      </c>
      <c r="H101" s="122">
        <f t="shared" si="26"/>
        <v>326.72426666666667</v>
      </c>
      <c r="I101" s="76">
        <v>44617</v>
      </c>
      <c r="J101" s="124" t="e">
        <f t="shared" si="17"/>
        <v>#REF!</v>
      </c>
      <c r="K101" s="240" t="e">
        <f t="shared" si="22"/>
        <v>#REF!</v>
      </c>
      <c r="L101" s="359">
        <v>4.5499999999999999E-2</v>
      </c>
      <c r="M101" s="127" t="e">
        <f>#REF!</f>
        <v>#REF!</v>
      </c>
      <c r="N101" s="241" t="e">
        <f t="shared" si="27"/>
        <v>#REF!</v>
      </c>
      <c r="O101" s="122">
        <f t="shared" si="23"/>
        <v>140.32442666666665</v>
      </c>
    </row>
    <row r="102" spans="1:15" ht="16.5" customHeight="1" x14ac:dyDescent="0.25">
      <c r="A102" s="120">
        <v>1</v>
      </c>
      <c r="B102" s="73" t="s">
        <v>100</v>
      </c>
      <c r="C102" s="72">
        <v>1604.9</v>
      </c>
      <c r="D102" s="70">
        <v>1000</v>
      </c>
      <c r="E102" s="122">
        <f t="shared" si="24"/>
        <v>604.90000000000009</v>
      </c>
      <c r="F102" s="122">
        <f t="shared" si="21"/>
        <v>534.9666666666667</v>
      </c>
      <c r="G102" s="122">
        <f t="shared" si="25"/>
        <v>1139.8666666666668</v>
      </c>
      <c r="H102" s="122">
        <f t="shared" si="26"/>
        <v>171.18933333333334</v>
      </c>
      <c r="I102" s="76">
        <v>44617</v>
      </c>
      <c r="J102" s="124" t="e">
        <f t="shared" ref="J102:J103" si="28">J101</f>
        <v>#REF!</v>
      </c>
      <c r="K102" s="240" t="e">
        <f t="shared" si="22"/>
        <v>#REF!</v>
      </c>
      <c r="L102" s="359">
        <v>4.5499999999999999E-2</v>
      </c>
      <c r="M102" s="127" t="e">
        <f t="shared" si="18"/>
        <v>#REF!</v>
      </c>
      <c r="N102" s="241" t="e">
        <f t="shared" si="27"/>
        <v>#REF!</v>
      </c>
      <c r="O102" s="122">
        <f t="shared" si="23"/>
        <v>51.863933333333335</v>
      </c>
    </row>
    <row r="103" spans="1:15" ht="16.5" customHeight="1" x14ac:dyDescent="0.25">
      <c r="A103" s="120">
        <v>1</v>
      </c>
      <c r="B103" s="73" t="s">
        <v>101</v>
      </c>
      <c r="C103" s="72">
        <v>5.95</v>
      </c>
      <c r="D103" s="70">
        <f t="shared" ref="D103" si="29">ROUND(C103*A103,2)</f>
        <v>5.95</v>
      </c>
      <c r="E103" s="122">
        <f t="shared" si="19"/>
        <v>0</v>
      </c>
      <c r="F103" s="122">
        <f t="shared" si="21"/>
        <v>1.9833333333333334</v>
      </c>
      <c r="G103" s="122">
        <f t="shared" si="20"/>
        <v>1.9833333333333334</v>
      </c>
      <c r="H103" s="122">
        <f t="shared" si="15"/>
        <v>0.63466666666666671</v>
      </c>
      <c r="I103" s="311">
        <v>44617</v>
      </c>
      <c r="J103" s="124" t="e">
        <f t="shared" si="28"/>
        <v>#REF!</v>
      </c>
      <c r="K103" s="240" t="e">
        <f t="shared" si="22"/>
        <v>#REF!</v>
      </c>
      <c r="L103" s="359">
        <v>4.5499999999999999E-2</v>
      </c>
      <c r="M103" s="127" t="e">
        <f>M96</f>
        <v>#REF!</v>
      </c>
      <c r="N103" s="241" t="e">
        <f t="shared" si="16"/>
        <v>#REF!</v>
      </c>
      <c r="O103" s="122">
        <f t="shared" si="23"/>
        <v>9.0241666666666664E-2</v>
      </c>
    </row>
    <row r="104" spans="1:15" ht="16.5" customHeight="1" x14ac:dyDescent="0.25">
      <c r="A104" s="132"/>
      <c r="B104" s="48" t="s">
        <v>162</v>
      </c>
      <c r="C104" s="48">
        <f>SUM(C37:C103)</f>
        <v>49322.93</v>
      </c>
      <c r="D104" s="48">
        <f>SUM(D37:D103)</f>
        <v>32315.200000000008</v>
      </c>
      <c r="E104" s="48">
        <f>SUM(E37:E103)</f>
        <v>17007.730000000003</v>
      </c>
      <c r="F104" s="48">
        <f>SUM(F37:F103)</f>
        <v>16440.976666666669</v>
      </c>
      <c r="G104" s="48">
        <f t="shared" si="20"/>
        <v>33448.706666666672</v>
      </c>
      <c r="H104" s="48">
        <f>SUM(H37:H103)</f>
        <v>5261.1125333333357</v>
      </c>
      <c r="I104" s="131"/>
      <c r="J104" s="131"/>
      <c r="K104" s="131"/>
      <c r="L104" s="396"/>
      <c r="M104" s="131"/>
      <c r="N104" s="131"/>
      <c r="O104" s="49">
        <f>SUM(O37:O103)</f>
        <v>1521.9161533333338</v>
      </c>
    </row>
    <row r="105" spans="1:15" s="96" customFormat="1" ht="17.25" customHeight="1" x14ac:dyDescent="0.2">
      <c r="A105" s="134"/>
      <c r="B105" s="135" t="s">
        <v>103</v>
      </c>
      <c r="C105" s="55">
        <f>SUM(C104+C36+C19)</f>
        <v>136158.06999999998</v>
      </c>
      <c r="D105" s="55">
        <f>SUM(D104+D36+D19)</f>
        <v>49615.05000000001</v>
      </c>
      <c r="E105" s="55">
        <f>SUM(E104+E36+E19)</f>
        <v>86543.01999999999</v>
      </c>
      <c r="F105" s="229">
        <f t="shared" ref="F105" si="30">C105/3</f>
        <v>45386.023333333324</v>
      </c>
      <c r="G105" s="229">
        <f t="shared" si="20"/>
        <v>131929.04333333331</v>
      </c>
      <c r="H105" s="229">
        <f>H104+H36+H19</f>
        <v>14523.527466666668</v>
      </c>
      <c r="I105" s="136"/>
      <c r="J105" s="136"/>
      <c r="K105" s="136"/>
      <c r="L105" s="136">
        <f>SUM(L104+L36+L19)</f>
        <v>0</v>
      </c>
      <c r="M105" s="136"/>
      <c r="N105" s="136"/>
      <c r="O105" s="136">
        <f>SUM(O104+O36+O19)</f>
        <v>6002.771471666666</v>
      </c>
    </row>
    <row r="107" spans="1:15" x14ac:dyDescent="0.25">
      <c r="B107" s="97"/>
      <c r="C107" s="97"/>
      <c r="D107" s="97"/>
      <c r="E107" s="97"/>
      <c r="F107" s="97"/>
      <c r="G107" s="97"/>
      <c r="H107" s="97"/>
      <c r="I107" s="98"/>
      <c r="J107" s="98"/>
      <c r="K107" s="98"/>
      <c r="L107" s="98"/>
      <c r="M107" s="98"/>
      <c r="N107" s="98"/>
      <c r="O107" s="98"/>
    </row>
    <row r="108" spans="1:15" x14ac:dyDescent="0.25">
      <c r="B108" s="97"/>
      <c r="C108" s="97"/>
      <c r="D108" s="97"/>
      <c r="E108" s="97"/>
      <c r="F108" s="97"/>
      <c r="G108" s="97"/>
      <c r="H108" s="97"/>
      <c r="I108" s="95"/>
      <c r="J108" s="95"/>
      <c r="K108" s="95"/>
      <c r="L108" s="95"/>
      <c r="M108" s="95"/>
      <c r="N108" s="95"/>
      <c r="O108" s="95"/>
    </row>
    <row r="109" spans="1:15" x14ac:dyDescent="0.25">
      <c r="B109" s="97"/>
      <c r="C109" s="97"/>
      <c r="D109" s="97"/>
      <c r="E109" s="97"/>
      <c r="F109" s="97"/>
      <c r="G109" s="97"/>
      <c r="H109" s="97"/>
      <c r="I109" s="99"/>
      <c r="J109" s="99"/>
      <c r="K109" s="99"/>
      <c r="L109" s="99"/>
      <c r="M109" s="99"/>
      <c r="N109" s="99"/>
      <c r="O109" s="99"/>
    </row>
    <row r="110" spans="1:15" x14ac:dyDescent="0.25">
      <c r="B110" s="97"/>
      <c r="C110" s="97"/>
      <c r="D110" s="97"/>
      <c r="E110" s="97"/>
      <c r="F110" s="97"/>
      <c r="G110" s="97"/>
      <c r="H110" s="97"/>
    </row>
    <row r="111" spans="1:15" x14ac:dyDescent="0.25">
      <c r="B111" s="97"/>
      <c r="C111" s="97"/>
      <c r="D111" s="97"/>
      <c r="E111" s="97"/>
      <c r="F111" s="97"/>
      <c r="G111" s="97"/>
      <c r="H111" s="97"/>
    </row>
    <row r="112" spans="1:15" x14ac:dyDescent="0.25">
      <c r="B112" s="97"/>
      <c r="C112" s="97"/>
      <c r="D112" s="97"/>
      <c r="E112" s="97"/>
      <c r="F112" s="97"/>
      <c r="G112" s="97"/>
      <c r="H112" s="97"/>
    </row>
    <row r="113" spans="2:8" x14ac:dyDescent="0.25">
      <c r="B113" s="97"/>
      <c r="C113" s="97"/>
      <c r="D113" s="97"/>
      <c r="E113" s="97"/>
      <c r="F113" s="97"/>
      <c r="G113" s="97"/>
      <c r="H113" s="97"/>
    </row>
    <row r="114" spans="2:8" x14ac:dyDescent="0.25">
      <c r="B114" s="97"/>
      <c r="C114" s="97"/>
      <c r="D114" s="97"/>
      <c r="E114" s="97"/>
      <c r="F114" s="97"/>
      <c r="G114" s="97"/>
      <c r="H114" s="97"/>
    </row>
  </sheetData>
  <autoFilter ref="A4:O104" xr:uid="{00000000-0009-0000-0000-000000000000}"/>
  <pageMargins left="0.51181102362204722" right="0.51181102362204722" top="0.47244094488188981" bottom="0.47244094488188981" header="0.31496062992125984" footer="0.31496062992125984"/>
  <pageSetup paperSize="9" scale="76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D874F-5354-4A5F-B98A-16EDC760AE11}">
  <sheetPr>
    <tabColor rgb="FF00B050"/>
    <pageSetUpPr fitToPage="1"/>
  </sheetPr>
  <dimension ref="A1:Q109"/>
  <sheetViews>
    <sheetView showGridLines="0" workbookViewId="0">
      <selection activeCell="O4" sqref="O4"/>
    </sheetView>
  </sheetViews>
  <sheetFormatPr defaultRowHeight="15" x14ac:dyDescent="0.25"/>
  <cols>
    <col min="1" max="1" width="9.85546875" style="60" customWidth="1"/>
    <col min="2" max="2" width="43.28515625" style="60" customWidth="1"/>
    <col min="3" max="3" width="14.140625" style="59" customWidth="1"/>
    <col min="4" max="4" width="14.42578125" style="69" customWidth="1"/>
    <col min="5" max="6" width="16.28515625" style="69" customWidth="1"/>
    <col min="7" max="7" width="13.5703125" style="69" customWidth="1"/>
    <col min="8" max="8" width="12.28515625" style="60" hidden="1" customWidth="1"/>
    <col min="9" max="9" width="12.85546875" style="60" hidden="1" customWidth="1"/>
    <col min="10" max="10" width="14.28515625" style="60" hidden="1" customWidth="1"/>
    <col min="11" max="11" width="12" style="60" hidden="1" customWidth="1"/>
    <col min="12" max="14" width="16.140625" style="60" hidden="1" customWidth="1"/>
    <col min="15" max="26" width="9.140625" style="60" customWidth="1"/>
    <col min="27" max="16384" width="9.140625" style="60"/>
  </cols>
  <sheetData>
    <row r="1" spans="1:14" ht="17.25" customHeight="1" x14ac:dyDescent="0.25">
      <c r="A1" s="221"/>
      <c r="B1" s="303" t="s">
        <v>141</v>
      </c>
      <c r="C1" s="304"/>
      <c r="D1" s="222"/>
      <c r="E1" s="83"/>
      <c r="F1" s="83"/>
      <c r="G1" s="83"/>
      <c r="H1" s="223"/>
      <c r="I1" s="223"/>
      <c r="J1" s="223"/>
      <c r="K1" s="223"/>
      <c r="L1" s="223"/>
      <c r="M1" s="223"/>
      <c r="N1" s="223"/>
    </row>
    <row r="2" spans="1:14" ht="15.75" x14ac:dyDescent="0.25">
      <c r="A2" s="59"/>
      <c r="B2" s="305" t="s">
        <v>240</v>
      </c>
      <c r="C2" s="306"/>
      <c r="D2" s="58"/>
      <c r="E2" s="58"/>
      <c r="F2" s="58"/>
      <c r="G2" s="58"/>
      <c r="H2" s="59"/>
      <c r="I2" s="59"/>
      <c r="J2" s="59"/>
      <c r="K2" s="59"/>
      <c r="L2" s="59"/>
      <c r="M2" s="59"/>
      <c r="N2" s="59"/>
    </row>
    <row r="3" spans="1:14" ht="30" customHeight="1" x14ac:dyDescent="0.25">
      <c r="A3" s="224"/>
      <c r="B3" s="307" t="s">
        <v>243</v>
      </c>
      <c r="C3" s="255"/>
      <c r="D3" s="88"/>
      <c r="E3" s="88"/>
      <c r="F3" s="88"/>
      <c r="G3" s="88"/>
      <c r="H3" s="224"/>
      <c r="I3" s="224"/>
      <c r="J3" s="224"/>
      <c r="K3" s="224"/>
      <c r="L3" s="224"/>
      <c r="M3" s="224"/>
      <c r="N3" s="224"/>
    </row>
    <row r="4" spans="1:14" s="217" customFormat="1" ht="31.5" customHeight="1" x14ac:dyDescent="0.25">
      <c r="A4" s="462" t="s">
        <v>143</v>
      </c>
      <c r="B4" s="466" t="s">
        <v>144</v>
      </c>
      <c r="C4" s="459" t="s">
        <v>140</v>
      </c>
      <c r="D4" s="463" t="s">
        <v>145</v>
      </c>
      <c r="E4" s="459" t="s">
        <v>314</v>
      </c>
      <c r="F4" s="459" t="s">
        <v>315</v>
      </c>
      <c r="G4" s="457" t="s">
        <v>212</v>
      </c>
      <c r="H4" s="58" t="s">
        <v>147</v>
      </c>
      <c r="I4" s="310" t="s">
        <v>213</v>
      </c>
      <c r="J4" s="310" t="s">
        <v>214</v>
      </c>
      <c r="K4" s="361" t="s">
        <v>252</v>
      </c>
      <c r="L4" s="361" t="s">
        <v>256</v>
      </c>
      <c r="M4" s="407" t="s">
        <v>214</v>
      </c>
      <c r="N4" s="70" t="s">
        <v>256</v>
      </c>
    </row>
    <row r="5" spans="1:14" s="217" customFormat="1" ht="18.75" customHeight="1" x14ac:dyDescent="0.25">
      <c r="A5" s="464"/>
      <c r="B5" s="467"/>
      <c r="C5" s="82"/>
      <c r="D5" s="465"/>
      <c r="E5" s="82" t="s">
        <v>313</v>
      </c>
      <c r="F5" s="82" t="s">
        <v>312</v>
      </c>
      <c r="G5" s="361"/>
      <c r="H5" s="58"/>
      <c r="I5" s="310"/>
      <c r="J5" s="310"/>
      <c r="K5" s="361"/>
      <c r="L5" s="361"/>
      <c r="M5" s="407"/>
      <c r="N5" s="70"/>
    </row>
    <row r="6" spans="1:14" ht="16.5" customHeight="1" x14ac:dyDescent="0.25">
      <c r="A6" s="176">
        <v>0.65</v>
      </c>
      <c r="B6" s="73" t="s">
        <v>1</v>
      </c>
      <c r="C6" s="72">
        <v>2016.15</v>
      </c>
      <c r="D6" s="70">
        <f>ROUND(C6*A6,2)</f>
        <v>1310.5</v>
      </c>
      <c r="E6" s="72">
        <f>C6-D6</f>
        <v>705.65000000000009</v>
      </c>
      <c r="F6" s="72">
        <f>'H.A Duração'!Y7</f>
        <v>652.22539200000006</v>
      </c>
      <c r="G6" s="72">
        <f>(C6+F6)*8%</f>
        <v>213.47003136000001</v>
      </c>
      <c r="H6" s="76">
        <v>44634</v>
      </c>
      <c r="I6" s="76">
        <v>44627</v>
      </c>
      <c r="J6" s="244">
        <f>H6-I6</f>
        <v>7</v>
      </c>
      <c r="K6" s="391">
        <v>3.7900000000000003E-2</v>
      </c>
      <c r="L6" s="76">
        <v>44530</v>
      </c>
      <c r="M6" s="76"/>
      <c r="N6" s="72">
        <f>(E6+F6)*K6</f>
        <v>51.463477356800013</v>
      </c>
    </row>
    <row r="7" spans="1:14" ht="16.5" customHeight="1" x14ac:dyDescent="0.25">
      <c r="A7" s="176">
        <v>0.65</v>
      </c>
      <c r="B7" s="73" t="s">
        <v>3</v>
      </c>
      <c r="C7" s="72">
        <v>2601.5500000000002</v>
      </c>
      <c r="D7" s="70">
        <f t="shared" ref="D7:D14" si="0">ROUND(C7*A7,2)</f>
        <v>1691.01</v>
      </c>
      <c r="E7" s="72">
        <f t="shared" ref="E7:E14" si="1">C7-D7</f>
        <v>910.54000000000019</v>
      </c>
      <c r="F7" s="72">
        <f>'H.A Duração'!Y8</f>
        <v>480.6630826666667</v>
      </c>
      <c r="G7" s="72">
        <f t="shared" ref="G7:G14" si="2">(C7+F7)*8%</f>
        <v>246.57704661333338</v>
      </c>
      <c r="H7" s="311">
        <v>44634</v>
      </c>
      <c r="I7" s="74">
        <f>I6</f>
        <v>44627</v>
      </c>
      <c r="J7" s="244">
        <f t="shared" ref="J7:J14" si="3">H7-I7</f>
        <v>7</v>
      </c>
      <c r="K7" s="391">
        <v>3.7900000000000003E-2</v>
      </c>
      <c r="L7" s="76">
        <v>44531</v>
      </c>
      <c r="M7" s="76"/>
      <c r="N7" s="72">
        <f t="shared" ref="N7:N14" si="4">(E7+F7)*K7</f>
        <v>52.726596833066679</v>
      </c>
    </row>
    <row r="8" spans="1:14" ht="16.5" customHeight="1" x14ac:dyDescent="0.25">
      <c r="A8" s="176">
        <v>0.65</v>
      </c>
      <c r="B8" s="73" t="s">
        <v>5</v>
      </c>
      <c r="C8" s="72">
        <v>4800.1000000000004</v>
      </c>
      <c r="D8" s="70">
        <f t="shared" si="0"/>
        <v>3120.07</v>
      </c>
      <c r="E8" s="72">
        <f t="shared" si="1"/>
        <v>1680.0300000000002</v>
      </c>
      <c r="F8" s="72">
        <v>0</v>
      </c>
      <c r="G8" s="72">
        <f t="shared" si="2"/>
        <v>384.00800000000004</v>
      </c>
      <c r="H8" s="311">
        <v>44634</v>
      </c>
      <c r="I8" s="74">
        <f>I7</f>
        <v>44627</v>
      </c>
      <c r="J8" s="244">
        <f t="shared" si="3"/>
        <v>7</v>
      </c>
      <c r="K8" s="391">
        <v>3.7900000000000003E-2</v>
      </c>
      <c r="L8" s="76">
        <v>44532</v>
      </c>
      <c r="M8" s="76"/>
      <c r="N8" s="72">
        <f t="shared" si="4"/>
        <v>63.673137000000011</v>
      </c>
    </row>
    <row r="9" spans="1:14" ht="16.5" customHeight="1" x14ac:dyDescent="0.25">
      <c r="A9" s="176">
        <v>0.65</v>
      </c>
      <c r="B9" s="73" t="s">
        <v>6</v>
      </c>
      <c r="C9" s="72">
        <v>509.25</v>
      </c>
      <c r="D9" s="70">
        <f t="shared" si="0"/>
        <v>331.01</v>
      </c>
      <c r="E9" s="72">
        <f t="shared" si="1"/>
        <v>178.24</v>
      </c>
      <c r="F9" s="72">
        <v>0</v>
      </c>
      <c r="G9" s="72">
        <f t="shared" si="2"/>
        <v>40.74</v>
      </c>
      <c r="H9" s="76">
        <v>44634</v>
      </c>
      <c r="I9" s="74">
        <f t="shared" ref="I9:I29" si="5">I8</f>
        <v>44627</v>
      </c>
      <c r="J9" s="244">
        <f t="shared" si="3"/>
        <v>7</v>
      </c>
      <c r="K9" s="391">
        <v>3.7900000000000003E-2</v>
      </c>
      <c r="L9" s="76">
        <v>44533</v>
      </c>
      <c r="M9" s="76"/>
      <c r="N9" s="72">
        <f t="shared" si="4"/>
        <v>6.7552960000000013</v>
      </c>
    </row>
    <row r="10" spans="1:14" ht="16.5" customHeight="1" x14ac:dyDescent="0.25">
      <c r="A10" s="176">
        <v>0.65</v>
      </c>
      <c r="B10" s="73" t="s">
        <v>8</v>
      </c>
      <c r="C10" s="72">
        <v>4966.67</v>
      </c>
      <c r="D10" s="70">
        <v>0</v>
      </c>
      <c r="E10" s="72">
        <f t="shared" si="1"/>
        <v>4966.67</v>
      </c>
      <c r="F10" s="72">
        <f>'H.A Duração'!Y11</f>
        <v>1565.6362726666662</v>
      </c>
      <c r="G10" s="72">
        <f t="shared" si="2"/>
        <v>522.5845018133333</v>
      </c>
      <c r="H10" s="76"/>
      <c r="I10" s="74">
        <f t="shared" si="5"/>
        <v>44627</v>
      </c>
      <c r="J10" s="244">
        <v>0</v>
      </c>
      <c r="K10" s="391">
        <v>3.7900000000000003E-2</v>
      </c>
      <c r="L10" s="76">
        <v>44534</v>
      </c>
      <c r="M10" s="76"/>
      <c r="N10" s="72">
        <f t="shared" si="4"/>
        <v>247.57440773406668</v>
      </c>
    </row>
    <row r="11" spans="1:14" ht="16.5" customHeight="1" x14ac:dyDescent="0.25">
      <c r="A11" s="176">
        <v>0.65</v>
      </c>
      <c r="B11" s="73" t="s">
        <v>9</v>
      </c>
      <c r="C11" s="72">
        <v>2052.0700000000002</v>
      </c>
      <c r="D11" s="70">
        <v>0</v>
      </c>
      <c r="E11" s="72">
        <f t="shared" si="1"/>
        <v>2052.0700000000002</v>
      </c>
      <c r="F11" s="72">
        <v>0</v>
      </c>
      <c r="G11" s="72">
        <f t="shared" si="2"/>
        <v>164.16560000000001</v>
      </c>
      <c r="H11" s="76"/>
      <c r="I11" s="74">
        <f t="shared" si="5"/>
        <v>44627</v>
      </c>
      <c r="J11" s="244">
        <v>0</v>
      </c>
      <c r="K11" s="391">
        <v>3.7900000000000003E-2</v>
      </c>
      <c r="L11" s="76">
        <v>44535</v>
      </c>
      <c r="M11" s="76"/>
      <c r="N11" s="72">
        <f t="shared" si="4"/>
        <v>77.773453000000018</v>
      </c>
    </row>
    <row r="12" spans="1:14" ht="16.5" customHeight="1" x14ac:dyDescent="0.25">
      <c r="A12" s="176">
        <v>0.65</v>
      </c>
      <c r="B12" s="73" t="s">
        <v>11</v>
      </c>
      <c r="C12" s="72">
        <v>2684.96</v>
      </c>
      <c r="D12" s="70">
        <v>0</v>
      </c>
      <c r="E12" s="72">
        <f t="shared" si="1"/>
        <v>2684.96</v>
      </c>
      <c r="F12" s="72">
        <v>0</v>
      </c>
      <c r="G12" s="72">
        <f t="shared" si="2"/>
        <v>214.79680000000002</v>
      </c>
      <c r="H12" s="76"/>
      <c r="I12" s="74">
        <f t="shared" si="5"/>
        <v>44627</v>
      </c>
      <c r="J12" s="244">
        <v>0</v>
      </c>
      <c r="K12" s="391">
        <v>3.7900000000000003E-2</v>
      </c>
      <c r="L12" s="76">
        <v>44536</v>
      </c>
      <c r="M12" s="76"/>
      <c r="N12" s="72">
        <f t="shared" si="4"/>
        <v>101.759984</v>
      </c>
    </row>
    <row r="13" spans="1:14" ht="16.5" customHeight="1" x14ac:dyDescent="0.25">
      <c r="A13" s="176">
        <v>0.65</v>
      </c>
      <c r="B13" s="73" t="s">
        <v>13</v>
      </c>
      <c r="C13" s="72">
        <v>1521.48</v>
      </c>
      <c r="D13" s="70">
        <f t="shared" si="0"/>
        <v>988.96</v>
      </c>
      <c r="E13" s="72">
        <f t="shared" si="1"/>
        <v>532.52</v>
      </c>
      <c r="F13" s="72">
        <v>0</v>
      </c>
      <c r="G13" s="72">
        <f t="shared" si="2"/>
        <v>121.7184</v>
      </c>
      <c r="H13" s="76">
        <v>44634</v>
      </c>
      <c r="I13" s="74">
        <f t="shared" si="5"/>
        <v>44627</v>
      </c>
      <c r="J13" s="244">
        <f t="shared" si="3"/>
        <v>7</v>
      </c>
      <c r="K13" s="391">
        <v>3.7900000000000003E-2</v>
      </c>
      <c r="L13" s="76">
        <v>44537</v>
      </c>
      <c r="M13" s="76"/>
      <c r="N13" s="72">
        <f t="shared" si="4"/>
        <v>20.182508000000002</v>
      </c>
    </row>
    <row r="14" spans="1:14" ht="16.5" customHeight="1" x14ac:dyDescent="0.25">
      <c r="A14" s="176">
        <v>0.65</v>
      </c>
      <c r="B14" s="73" t="s">
        <v>104</v>
      </c>
      <c r="C14" s="72">
        <v>1837.09</v>
      </c>
      <c r="D14" s="70">
        <f t="shared" si="0"/>
        <v>1194.1099999999999</v>
      </c>
      <c r="E14" s="72">
        <f t="shared" si="1"/>
        <v>642.98</v>
      </c>
      <c r="F14" s="72">
        <f>'H.A Duração'!Y16</f>
        <v>680.09827200000007</v>
      </c>
      <c r="G14" s="72">
        <f t="shared" si="2"/>
        <v>201.37506175999999</v>
      </c>
      <c r="H14" s="76">
        <v>44634</v>
      </c>
      <c r="I14" s="74">
        <f t="shared" si="5"/>
        <v>44627</v>
      </c>
      <c r="J14" s="244">
        <f t="shared" si="3"/>
        <v>7</v>
      </c>
      <c r="K14" s="391">
        <v>3.7900000000000003E-2</v>
      </c>
      <c r="L14" s="76">
        <v>44538</v>
      </c>
      <c r="M14" s="76"/>
      <c r="N14" s="72">
        <f t="shared" si="4"/>
        <v>50.144666508800015</v>
      </c>
    </row>
    <row r="15" spans="1:14" ht="16.5" customHeight="1" x14ac:dyDescent="0.25">
      <c r="A15" s="190"/>
      <c r="B15" s="312" t="s">
        <v>156</v>
      </c>
      <c r="C15" s="312">
        <f>SUM(C6:C14)</f>
        <v>22989.32</v>
      </c>
      <c r="D15" s="312">
        <f>SUM(D6:D14)</f>
        <v>8635.66</v>
      </c>
      <c r="E15" s="317">
        <f>SUM(E6:E14)</f>
        <v>14353.66</v>
      </c>
      <c r="F15" s="317">
        <f>SUM(F6:F14)</f>
        <v>3378.6230193333331</v>
      </c>
      <c r="G15" s="181">
        <f>SUM(G6:G14)</f>
        <v>2109.4354415466669</v>
      </c>
      <c r="H15" s="312"/>
      <c r="I15" s="251"/>
      <c r="J15" s="181"/>
      <c r="K15" s="392"/>
      <c r="L15" s="410">
        <v>44539</v>
      </c>
      <c r="M15" s="410"/>
      <c r="N15" s="317">
        <f>SUM(N6:N14)</f>
        <v>672.05352643273341</v>
      </c>
    </row>
    <row r="16" spans="1:14" ht="16.5" customHeight="1" x14ac:dyDescent="0.25">
      <c r="A16" s="176">
        <v>0.8</v>
      </c>
      <c r="B16" s="73" t="s">
        <v>19</v>
      </c>
      <c r="C16" s="72">
        <v>3238.77</v>
      </c>
      <c r="D16" s="70">
        <f t="shared" ref="D16:D29" si="6">ROUND(C16*A16,2)</f>
        <v>2591.02</v>
      </c>
      <c r="E16" s="72">
        <f>C16-D16</f>
        <v>647.75</v>
      </c>
      <c r="F16" s="72">
        <f>'H.A Duração'!Y4</f>
        <v>694.80902400000025</v>
      </c>
      <c r="G16" s="72">
        <f>(C16+F16)*8%</f>
        <v>314.68632192000001</v>
      </c>
      <c r="H16" s="76">
        <v>44634</v>
      </c>
      <c r="I16" s="74">
        <f>I14</f>
        <v>44627</v>
      </c>
      <c r="J16" s="232">
        <f>H16-I16</f>
        <v>7</v>
      </c>
      <c r="K16" s="391">
        <v>3.7900000000000003E-2</v>
      </c>
      <c r="L16" s="76">
        <v>44540</v>
      </c>
      <c r="M16" s="76"/>
      <c r="N16" s="72">
        <f>(E16+F16)*K16</f>
        <v>50.882987009600008</v>
      </c>
    </row>
    <row r="17" spans="1:14" ht="16.5" customHeight="1" x14ac:dyDescent="0.25">
      <c r="A17" s="176">
        <v>0.8</v>
      </c>
      <c r="B17" s="73" t="s">
        <v>20</v>
      </c>
      <c r="C17" s="72">
        <v>1588.14</v>
      </c>
      <c r="D17" s="70">
        <v>0</v>
      </c>
      <c r="E17" s="72">
        <f t="shared" ref="E17:E29" si="7">C17-D17</f>
        <v>1588.14</v>
      </c>
      <c r="F17" s="72">
        <v>0</v>
      </c>
      <c r="G17" s="72">
        <f t="shared" ref="G17:G29" si="8">(C17+F17)*8%</f>
        <v>127.05120000000001</v>
      </c>
      <c r="H17" s="311"/>
      <c r="I17" s="74">
        <f t="shared" si="5"/>
        <v>44627</v>
      </c>
      <c r="J17" s="232">
        <v>0</v>
      </c>
      <c r="K17" s="391">
        <v>3.7900000000000003E-2</v>
      </c>
      <c r="L17" s="76">
        <v>44541</v>
      </c>
      <c r="M17" s="76"/>
      <c r="N17" s="72">
        <f t="shared" ref="N17:N29" si="9">(E17+F17)*K17</f>
        <v>60.190506000000006</v>
      </c>
    </row>
    <row r="18" spans="1:14" ht="16.5" customHeight="1" x14ac:dyDescent="0.25">
      <c r="A18" s="176">
        <v>0.8</v>
      </c>
      <c r="B18" s="73" t="s">
        <v>21</v>
      </c>
      <c r="C18" s="72">
        <v>1271.1400000000001</v>
      </c>
      <c r="D18" s="70">
        <f t="shared" si="6"/>
        <v>1016.91</v>
      </c>
      <c r="E18" s="72">
        <f t="shared" si="7"/>
        <v>254.23000000000013</v>
      </c>
      <c r="F18" s="72">
        <v>0</v>
      </c>
      <c r="G18" s="72">
        <f t="shared" si="8"/>
        <v>101.69120000000001</v>
      </c>
      <c r="H18" s="311">
        <v>44634</v>
      </c>
      <c r="I18" s="74">
        <f t="shared" si="5"/>
        <v>44627</v>
      </c>
      <c r="J18" s="232">
        <f t="shared" ref="J18:J29" si="10">H18-I18</f>
        <v>7</v>
      </c>
      <c r="K18" s="391">
        <v>3.7900000000000003E-2</v>
      </c>
      <c r="L18" s="76">
        <v>44542</v>
      </c>
      <c r="M18" s="76"/>
      <c r="N18" s="72">
        <f t="shared" si="9"/>
        <v>9.6353170000000059</v>
      </c>
    </row>
    <row r="19" spans="1:14" ht="16.5" customHeight="1" x14ac:dyDescent="0.25">
      <c r="A19" s="176">
        <v>0.8</v>
      </c>
      <c r="B19" s="73" t="s">
        <v>22</v>
      </c>
      <c r="C19" s="72">
        <v>1139.81</v>
      </c>
      <c r="D19" s="70">
        <f t="shared" si="6"/>
        <v>911.85</v>
      </c>
      <c r="E19" s="72">
        <f t="shared" si="7"/>
        <v>227.95999999999992</v>
      </c>
      <c r="F19" s="72">
        <v>0</v>
      </c>
      <c r="G19" s="72">
        <f t="shared" si="8"/>
        <v>91.184799999999996</v>
      </c>
      <c r="H19" s="311">
        <v>44634</v>
      </c>
      <c r="I19" s="74">
        <f t="shared" si="5"/>
        <v>44627</v>
      </c>
      <c r="J19" s="232">
        <f t="shared" si="10"/>
        <v>7</v>
      </c>
      <c r="K19" s="391">
        <v>3.7900000000000003E-2</v>
      </c>
      <c r="L19" s="76">
        <v>44543</v>
      </c>
      <c r="M19" s="76"/>
      <c r="N19" s="72">
        <f t="shared" si="9"/>
        <v>8.6396839999999973</v>
      </c>
    </row>
    <row r="20" spans="1:14" ht="16.5" customHeight="1" x14ac:dyDescent="0.25">
      <c r="A20" s="176">
        <v>0.8</v>
      </c>
      <c r="B20" s="73" t="s">
        <v>23</v>
      </c>
      <c r="C20" s="72">
        <v>3518.77</v>
      </c>
      <c r="D20" s="70">
        <f t="shared" si="6"/>
        <v>2815.02</v>
      </c>
      <c r="E20" s="72">
        <f t="shared" si="7"/>
        <v>703.75</v>
      </c>
      <c r="F20" s="72">
        <v>0</v>
      </c>
      <c r="G20" s="72">
        <f t="shared" si="8"/>
        <v>281.5016</v>
      </c>
      <c r="H20" s="311">
        <v>44634</v>
      </c>
      <c r="I20" s="74">
        <f t="shared" si="5"/>
        <v>44627</v>
      </c>
      <c r="J20" s="232">
        <f t="shared" si="10"/>
        <v>7</v>
      </c>
      <c r="K20" s="391">
        <v>3.7900000000000003E-2</v>
      </c>
      <c r="L20" s="76">
        <v>44544</v>
      </c>
      <c r="M20" s="76"/>
      <c r="N20" s="72">
        <f t="shared" si="9"/>
        <v>26.672125000000001</v>
      </c>
    </row>
    <row r="21" spans="1:14" ht="16.5" customHeight="1" x14ac:dyDescent="0.25">
      <c r="A21" s="176">
        <v>0.8</v>
      </c>
      <c r="B21" s="73" t="s">
        <v>25</v>
      </c>
      <c r="C21" s="72">
        <v>6687.17</v>
      </c>
      <c r="D21" s="70">
        <f t="shared" si="6"/>
        <v>5349.74</v>
      </c>
      <c r="E21" s="72">
        <f t="shared" si="7"/>
        <v>1337.4300000000003</v>
      </c>
      <c r="F21" s="72">
        <v>0</v>
      </c>
      <c r="G21" s="72">
        <f t="shared" si="8"/>
        <v>534.97360000000003</v>
      </c>
      <c r="H21" s="311">
        <v>44634</v>
      </c>
      <c r="I21" s="74">
        <f t="shared" si="5"/>
        <v>44627</v>
      </c>
      <c r="J21" s="232">
        <f t="shared" si="10"/>
        <v>7</v>
      </c>
      <c r="K21" s="391">
        <v>3.7900000000000003E-2</v>
      </c>
      <c r="L21" s="76">
        <v>44545</v>
      </c>
      <c r="M21" s="76"/>
      <c r="N21" s="72">
        <f t="shared" si="9"/>
        <v>50.688597000000016</v>
      </c>
    </row>
    <row r="22" spans="1:14" ht="16.5" customHeight="1" x14ac:dyDescent="0.25">
      <c r="A22" s="176">
        <v>0.8</v>
      </c>
      <c r="B22" s="73" t="s">
        <v>60</v>
      </c>
      <c r="C22" s="72">
        <v>1229.28</v>
      </c>
      <c r="D22" s="70">
        <f t="shared" si="6"/>
        <v>983.42</v>
      </c>
      <c r="E22" s="72">
        <f t="shared" si="7"/>
        <v>245.86</v>
      </c>
      <c r="F22" s="72">
        <v>0</v>
      </c>
      <c r="G22" s="72">
        <f t="shared" si="8"/>
        <v>98.342399999999998</v>
      </c>
      <c r="H22" s="311">
        <v>44634</v>
      </c>
      <c r="I22" s="74">
        <f t="shared" si="5"/>
        <v>44627</v>
      </c>
      <c r="J22" s="232">
        <f t="shared" si="10"/>
        <v>7</v>
      </c>
      <c r="K22" s="391">
        <v>3.7900000000000003E-2</v>
      </c>
      <c r="L22" s="76">
        <v>44546</v>
      </c>
      <c r="M22" s="76"/>
      <c r="N22" s="72">
        <f t="shared" si="9"/>
        <v>9.3180940000000021</v>
      </c>
    </row>
    <row r="23" spans="1:14" ht="16.5" customHeight="1" x14ac:dyDescent="0.25">
      <c r="A23" s="176">
        <v>0.8</v>
      </c>
      <c r="B23" s="73" t="s">
        <v>26</v>
      </c>
      <c r="C23" s="72">
        <v>5081.6400000000003</v>
      </c>
      <c r="D23" s="70">
        <v>0</v>
      </c>
      <c r="E23" s="72">
        <f t="shared" si="7"/>
        <v>5081.6400000000003</v>
      </c>
      <c r="F23" s="72">
        <f>[1]cálculo!$Y$10</f>
        <v>0</v>
      </c>
      <c r="G23" s="72">
        <f t="shared" si="8"/>
        <v>406.53120000000001</v>
      </c>
      <c r="H23" s="311"/>
      <c r="I23" s="74">
        <f t="shared" si="5"/>
        <v>44627</v>
      </c>
      <c r="J23" s="232">
        <v>0</v>
      </c>
      <c r="K23" s="391">
        <v>3.7900000000000003E-2</v>
      </c>
      <c r="L23" s="76">
        <v>44547</v>
      </c>
      <c r="M23" s="76"/>
      <c r="N23" s="72">
        <f t="shared" si="9"/>
        <v>192.59415600000003</v>
      </c>
    </row>
    <row r="24" spans="1:14" ht="16.5" customHeight="1" x14ac:dyDescent="0.25">
      <c r="A24" s="176">
        <v>0.8</v>
      </c>
      <c r="B24" s="73" t="s">
        <v>27</v>
      </c>
      <c r="C24" s="72">
        <v>1083.28</v>
      </c>
      <c r="D24" s="70">
        <v>0</v>
      </c>
      <c r="E24" s="72">
        <f t="shared" si="7"/>
        <v>1083.28</v>
      </c>
      <c r="F24" s="72">
        <f>'H.A Duração'!Y12</f>
        <v>197.9913600000001</v>
      </c>
      <c r="G24" s="72">
        <f t="shared" si="8"/>
        <v>102.50170880000002</v>
      </c>
      <c r="H24" s="311"/>
      <c r="I24" s="74">
        <f t="shared" si="5"/>
        <v>44627</v>
      </c>
      <c r="J24" s="232">
        <v>0</v>
      </c>
      <c r="K24" s="391">
        <v>3.7900000000000003E-2</v>
      </c>
      <c r="L24" s="76">
        <v>44548</v>
      </c>
      <c r="M24" s="76"/>
      <c r="N24" s="72">
        <f t="shared" si="9"/>
        <v>48.560184544000009</v>
      </c>
    </row>
    <row r="25" spans="1:14" ht="16.5" customHeight="1" x14ac:dyDescent="0.25">
      <c r="A25" s="176">
        <v>0.8</v>
      </c>
      <c r="B25" s="73" t="s">
        <v>28</v>
      </c>
      <c r="C25" s="72">
        <v>220.2</v>
      </c>
      <c r="D25" s="70">
        <f t="shared" si="6"/>
        <v>176.16</v>
      </c>
      <c r="E25" s="72">
        <f t="shared" si="7"/>
        <v>44.039999999999992</v>
      </c>
      <c r="F25" s="72">
        <v>0</v>
      </c>
      <c r="G25" s="72">
        <f t="shared" si="8"/>
        <v>17.616</v>
      </c>
      <c r="H25" s="311">
        <v>44634</v>
      </c>
      <c r="I25" s="74">
        <f t="shared" si="5"/>
        <v>44627</v>
      </c>
      <c r="J25" s="232">
        <f t="shared" si="10"/>
        <v>7</v>
      </c>
      <c r="K25" s="391">
        <v>3.7900000000000003E-2</v>
      </c>
      <c r="L25" s="76">
        <v>44549</v>
      </c>
      <c r="M25" s="76"/>
      <c r="N25" s="72">
        <f t="shared" si="9"/>
        <v>1.6691159999999998</v>
      </c>
    </row>
    <row r="26" spans="1:14" ht="16.5" customHeight="1" x14ac:dyDescent="0.25">
      <c r="A26" s="176">
        <v>0.8</v>
      </c>
      <c r="B26" s="73" t="s">
        <v>29</v>
      </c>
      <c r="C26" s="72">
        <v>1867.96</v>
      </c>
      <c r="D26" s="70"/>
      <c r="E26" s="72">
        <f t="shared" si="7"/>
        <v>1867.96</v>
      </c>
      <c r="F26" s="72">
        <v>0</v>
      </c>
      <c r="G26" s="72">
        <f t="shared" si="8"/>
        <v>149.43680000000001</v>
      </c>
      <c r="H26" s="311"/>
      <c r="I26" s="74">
        <f t="shared" si="5"/>
        <v>44627</v>
      </c>
      <c r="J26" s="232">
        <v>0</v>
      </c>
      <c r="K26" s="391">
        <v>3.7900000000000003E-2</v>
      </c>
      <c r="L26" s="76">
        <v>44550</v>
      </c>
      <c r="M26" s="76"/>
      <c r="N26" s="72">
        <f t="shared" si="9"/>
        <v>70.795684000000008</v>
      </c>
    </row>
    <row r="27" spans="1:14" ht="16.5" customHeight="1" x14ac:dyDescent="0.25">
      <c r="A27" s="176">
        <v>0.8</v>
      </c>
      <c r="B27" s="73" t="s">
        <v>30</v>
      </c>
      <c r="C27" s="72">
        <v>2552.06</v>
      </c>
      <c r="D27" s="70">
        <f t="shared" si="6"/>
        <v>2041.65</v>
      </c>
      <c r="E27" s="72">
        <f t="shared" si="7"/>
        <v>510.40999999999985</v>
      </c>
      <c r="F27" s="72">
        <v>0</v>
      </c>
      <c r="G27" s="72">
        <f t="shared" si="8"/>
        <v>204.16480000000001</v>
      </c>
      <c r="H27" s="311">
        <v>44634</v>
      </c>
      <c r="I27" s="74">
        <f t="shared" si="5"/>
        <v>44627</v>
      </c>
      <c r="J27" s="232">
        <f t="shared" si="10"/>
        <v>7</v>
      </c>
      <c r="K27" s="391">
        <v>3.7900000000000003E-2</v>
      </c>
      <c r="L27" s="76">
        <v>44551</v>
      </c>
      <c r="M27" s="76"/>
      <c r="N27" s="72">
        <f t="shared" si="9"/>
        <v>19.344538999999997</v>
      </c>
    </row>
    <row r="28" spans="1:14" ht="16.5" customHeight="1" x14ac:dyDescent="0.25">
      <c r="A28" s="176">
        <v>0.8</v>
      </c>
      <c r="B28" s="73" t="s">
        <v>31</v>
      </c>
      <c r="C28" s="72">
        <v>1123.05</v>
      </c>
      <c r="D28" s="70">
        <f t="shared" si="6"/>
        <v>898.44</v>
      </c>
      <c r="E28" s="72">
        <f t="shared" si="7"/>
        <v>224.6099999999999</v>
      </c>
      <c r="F28" s="72">
        <f>'H.A Duração'!Y17</f>
        <v>1016.355648</v>
      </c>
      <c r="G28" s="72">
        <f t="shared" si="8"/>
        <v>171.15245184</v>
      </c>
      <c r="H28" s="311">
        <v>44634</v>
      </c>
      <c r="I28" s="74">
        <f t="shared" si="5"/>
        <v>44627</v>
      </c>
      <c r="J28" s="232">
        <f t="shared" si="10"/>
        <v>7</v>
      </c>
      <c r="K28" s="391">
        <v>3.7900000000000003E-2</v>
      </c>
      <c r="L28" s="76">
        <v>44552</v>
      </c>
      <c r="M28" s="76"/>
      <c r="N28" s="72">
        <f t="shared" si="9"/>
        <v>47.032598059199998</v>
      </c>
    </row>
    <row r="29" spans="1:14" ht="16.5" customHeight="1" x14ac:dyDescent="0.25">
      <c r="A29" s="176">
        <v>0.8</v>
      </c>
      <c r="B29" s="73" t="s">
        <v>32</v>
      </c>
      <c r="C29" s="72">
        <v>1219.48</v>
      </c>
      <c r="D29" s="70">
        <f t="shared" si="6"/>
        <v>975.58</v>
      </c>
      <c r="E29" s="72">
        <f t="shared" si="7"/>
        <v>243.89999999999998</v>
      </c>
      <c r="F29" s="72">
        <f>'H.A Duração'!Y18</f>
        <v>329.12006400000001</v>
      </c>
      <c r="G29" s="72">
        <f t="shared" si="8"/>
        <v>123.88800512</v>
      </c>
      <c r="H29" s="311">
        <v>44634</v>
      </c>
      <c r="I29" s="74">
        <f t="shared" si="5"/>
        <v>44627</v>
      </c>
      <c r="J29" s="232">
        <f t="shared" si="10"/>
        <v>7</v>
      </c>
      <c r="K29" s="391">
        <v>3.7900000000000003E-2</v>
      </c>
      <c r="L29" s="76">
        <v>44553</v>
      </c>
      <c r="M29" s="76"/>
      <c r="N29" s="72">
        <f t="shared" si="9"/>
        <v>21.717460425600002</v>
      </c>
    </row>
    <row r="30" spans="1:14" ht="16.5" customHeight="1" x14ac:dyDescent="0.25">
      <c r="A30" s="190"/>
      <c r="B30" s="314" t="s">
        <v>160</v>
      </c>
      <c r="C30" s="314">
        <f>SUM(C16:C29)</f>
        <v>31820.75</v>
      </c>
      <c r="D30" s="314">
        <f>SUM(D16:D29)</f>
        <v>17759.79</v>
      </c>
      <c r="E30" s="327">
        <f>SUM(E16:E29)</f>
        <v>14060.960000000001</v>
      </c>
      <c r="F30" s="454">
        <f>SUM(F16:F29)</f>
        <v>2238.2760960000005</v>
      </c>
      <c r="G30" s="314">
        <f>SUM(G16:G29)</f>
        <v>2724.7220876800002</v>
      </c>
      <c r="H30" s="315"/>
      <c r="I30" s="323"/>
      <c r="J30" s="315"/>
      <c r="K30" s="392"/>
      <c r="L30" s="410">
        <v>44554</v>
      </c>
      <c r="M30" s="410"/>
      <c r="N30" s="317">
        <f>SUM(N16:N29)</f>
        <v>617.74104803840009</v>
      </c>
    </row>
    <row r="31" spans="1:14" ht="16.5" customHeight="1" x14ac:dyDescent="0.25">
      <c r="A31" s="313"/>
      <c r="B31" s="73" t="s">
        <v>33</v>
      </c>
      <c r="C31" s="72">
        <v>2580.04</v>
      </c>
      <c r="D31" s="70">
        <f>C31</f>
        <v>2580.04</v>
      </c>
      <c r="E31" s="72">
        <f>C31-D31</f>
        <v>0</v>
      </c>
      <c r="F31" s="72">
        <v>0</v>
      </c>
      <c r="G31" s="70">
        <f>(C31+F31)*8%</f>
        <v>206.4032</v>
      </c>
      <c r="H31" s="311">
        <v>44634</v>
      </c>
      <c r="I31" s="74">
        <f>I29</f>
        <v>44627</v>
      </c>
      <c r="J31" s="324">
        <f>H31-I31</f>
        <v>7</v>
      </c>
      <c r="K31" s="391">
        <v>3.7900000000000003E-2</v>
      </c>
      <c r="L31" s="76">
        <v>44555</v>
      </c>
      <c r="M31" s="76"/>
      <c r="N31" s="72">
        <f>(E31+F31)*K31</f>
        <v>0</v>
      </c>
    </row>
    <row r="32" spans="1:14" ht="16.5" customHeight="1" x14ac:dyDescent="0.25">
      <c r="A32" s="313"/>
      <c r="B32" s="73" t="s">
        <v>34</v>
      </c>
      <c r="C32" s="72">
        <v>1366.8</v>
      </c>
      <c r="D32" s="70">
        <f t="shared" ref="D32:D94" si="11">C32</f>
        <v>1366.8</v>
      </c>
      <c r="E32" s="72">
        <f t="shared" ref="E32:E88" si="12">C32-D32</f>
        <v>0</v>
      </c>
      <c r="F32" s="72">
        <v>0</v>
      </c>
      <c r="G32" s="70">
        <f t="shared" ref="G32:G95" si="13">(C32+F32)*8%</f>
        <v>109.34399999999999</v>
      </c>
      <c r="H32" s="311">
        <v>44634</v>
      </c>
      <c r="I32" s="74">
        <f>I31</f>
        <v>44627</v>
      </c>
      <c r="J32" s="324">
        <f t="shared" ref="J32:J94" si="14">H32-I32</f>
        <v>7</v>
      </c>
      <c r="K32" s="391">
        <v>3.7900000000000003E-2</v>
      </c>
      <c r="L32" s="76">
        <v>44556</v>
      </c>
      <c r="M32" s="76"/>
      <c r="N32" s="72">
        <f t="shared" ref="N32:N95" si="15">(E32+F32)*K32</f>
        <v>0</v>
      </c>
    </row>
    <row r="33" spans="1:14" ht="16.5" customHeight="1" x14ac:dyDescent="0.25">
      <c r="A33" s="313"/>
      <c r="B33" s="73" t="s">
        <v>16</v>
      </c>
      <c r="C33" s="72">
        <v>2.78</v>
      </c>
      <c r="D33" s="70">
        <f t="shared" si="11"/>
        <v>2.78</v>
      </c>
      <c r="E33" s="72">
        <f t="shared" si="12"/>
        <v>0</v>
      </c>
      <c r="F33" s="72">
        <v>0</v>
      </c>
      <c r="G33" s="70">
        <f t="shared" si="13"/>
        <v>0.22239999999999999</v>
      </c>
      <c r="H33" s="311">
        <v>44634</v>
      </c>
      <c r="I33" s="74">
        <f t="shared" ref="I33:I44" si="16">I31</f>
        <v>44627</v>
      </c>
      <c r="J33" s="324">
        <f t="shared" si="14"/>
        <v>7</v>
      </c>
      <c r="K33" s="391">
        <v>3.7900000000000003E-2</v>
      </c>
      <c r="L33" s="76">
        <v>44557</v>
      </c>
      <c r="M33" s="76"/>
      <c r="N33" s="72">
        <f t="shared" si="15"/>
        <v>0</v>
      </c>
    </row>
    <row r="34" spans="1:14" ht="16.5" customHeight="1" x14ac:dyDescent="0.25">
      <c r="A34" s="313"/>
      <c r="B34" s="73" t="s">
        <v>35</v>
      </c>
      <c r="C34" s="72">
        <v>112.94</v>
      </c>
      <c r="D34" s="70">
        <f t="shared" si="11"/>
        <v>112.94</v>
      </c>
      <c r="E34" s="72">
        <f t="shared" si="12"/>
        <v>0</v>
      </c>
      <c r="F34" s="72">
        <v>0</v>
      </c>
      <c r="G34" s="70">
        <f t="shared" si="13"/>
        <v>9.0351999999999997</v>
      </c>
      <c r="H34" s="311">
        <v>44634</v>
      </c>
      <c r="I34" s="74">
        <f t="shared" si="16"/>
        <v>44627</v>
      </c>
      <c r="J34" s="324">
        <f t="shared" si="14"/>
        <v>7</v>
      </c>
      <c r="K34" s="391">
        <v>3.7900000000000003E-2</v>
      </c>
      <c r="L34" s="76">
        <v>44558</v>
      </c>
      <c r="M34" s="76"/>
      <c r="N34" s="72">
        <f t="shared" si="15"/>
        <v>0</v>
      </c>
    </row>
    <row r="35" spans="1:14" ht="16.5" customHeight="1" x14ac:dyDescent="0.25">
      <c r="A35" s="313"/>
      <c r="B35" s="73" t="s">
        <v>219</v>
      </c>
      <c r="C35" s="72">
        <v>489.71</v>
      </c>
      <c r="D35" s="70">
        <f t="shared" si="11"/>
        <v>489.71</v>
      </c>
      <c r="E35" s="72">
        <f t="shared" si="12"/>
        <v>0</v>
      </c>
      <c r="F35" s="72">
        <v>0</v>
      </c>
      <c r="G35" s="70">
        <f t="shared" si="13"/>
        <v>39.1768</v>
      </c>
      <c r="H35" s="311">
        <v>44634</v>
      </c>
      <c r="I35" s="74">
        <f t="shared" si="16"/>
        <v>44627</v>
      </c>
      <c r="J35" s="324">
        <f t="shared" si="14"/>
        <v>7</v>
      </c>
      <c r="K35" s="391">
        <v>3.7900000000000003E-2</v>
      </c>
      <c r="L35" s="76">
        <v>44559</v>
      </c>
      <c r="M35" s="76"/>
      <c r="N35" s="72">
        <f t="shared" si="15"/>
        <v>0</v>
      </c>
    </row>
    <row r="36" spans="1:14" ht="16.5" customHeight="1" x14ac:dyDescent="0.25">
      <c r="A36" s="313"/>
      <c r="B36" s="73" t="s">
        <v>37</v>
      </c>
      <c r="C36" s="72">
        <v>1036.82</v>
      </c>
      <c r="D36" s="70">
        <f t="shared" si="11"/>
        <v>1036.82</v>
      </c>
      <c r="E36" s="72">
        <f t="shared" si="12"/>
        <v>0</v>
      </c>
      <c r="F36" s="72">
        <v>0</v>
      </c>
      <c r="G36" s="70">
        <f t="shared" si="13"/>
        <v>82.945599999999999</v>
      </c>
      <c r="H36" s="311">
        <v>44634</v>
      </c>
      <c r="I36" s="74">
        <f t="shared" si="16"/>
        <v>44627</v>
      </c>
      <c r="J36" s="324">
        <f t="shared" si="14"/>
        <v>7</v>
      </c>
      <c r="K36" s="391">
        <v>3.7900000000000003E-2</v>
      </c>
      <c r="L36" s="76">
        <v>44560</v>
      </c>
      <c r="M36" s="76"/>
      <c r="N36" s="72">
        <f t="shared" si="15"/>
        <v>0</v>
      </c>
    </row>
    <row r="37" spans="1:14" ht="16.5" customHeight="1" x14ac:dyDescent="0.25">
      <c r="A37" s="313"/>
      <c r="B37" s="73" t="s">
        <v>105</v>
      </c>
      <c r="C37" s="72">
        <v>357.05</v>
      </c>
      <c r="D37" s="70">
        <f t="shared" si="11"/>
        <v>357.05</v>
      </c>
      <c r="E37" s="72">
        <f t="shared" si="12"/>
        <v>0</v>
      </c>
      <c r="F37" s="72">
        <v>0</v>
      </c>
      <c r="G37" s="70">
        <f t="shared" si="13"/>
        <v>28.564</v>
      </c>
      <c r="H37" s="311">
        <v>44634</v>
      </c>
      <c r="I37" s="74">
        <f t="shared" si="16"/>
        <v>44627</v>
      </c>
      <c r="J37" s="324">
        <f t="shared" si="14"/>
        <v>7</v>
      </c>
      <c r="K37" s="391">
        <v>3.7900000000000003E-2</v>
      </c>
      <c r="L37" s="76">
        <v>44561</v>
      </c>
      <c r="M37" s="76"/>
      <c r="N37" s="72">
        <f t="shared" si="15"/>
        <v>0</v>
      </c>
    </row>
    <row r="38" spans="1:14" ht="16.5" customHeight="1" x14ac:dyDescent="0.25">
      <c r="A38" s="313"/>
      <c r="B38" s="73" t="s">
        <v>38</v>
      </c>
      <c r="C38" s="72">
        <v>2379.3200000000002</v>
      </c>
      <c r="D38" s="70">
        <f t="shared" si="11"/>
        <v>2379.3200000000002</v>
      </c>
      <c r="E38" s="72">
        <f t="shared" si="12"/>
        <v>0</v>
      </c>
      <c r="F38" s="72">
        <f>'H.A Duração'!Y5</f>
        <v>942.39779199999975</v>
      </c>
      <c r="G38" s="70">
        <f t="shared" si="13"/>
        <v>265.73742335999998</v>
      </c>
      <c r="H38" s="311">
        <v>44634</v>
      </c>
      <c r="I38" s="74">
        <f t="shared" si="16"/>
        <v>44627</v>
      </c>
      <c r="J38" s="324">
        <f t="shared" si="14"/>
        <v>7</v>
      </c>
      <c r="K38" s="391">
        <v>3.7900000000000003E-2</v>
      </c>
      <c r="L38" s="76">
        <v>44562</v>
      </c>
      <c r="M38" s="76"/>
      <c r="N38" s="72">
        <f t="shared" si="15"/>
        <v>35.716876316799997</v>
      </c>
    </row>
    <row r="39" spans="1:14" ht="16.5" customHeight="1" x14ac:dyDescent="0.25">
      <c r="A39" s="313"/>
      <c r="B39" s="73" t="s">
        <v>39</v>
      </c>
      <c r="C39" s="72">
        <v>10.75</v>
      </c>
      <c r="D39" s="70">
        <f t="shared" si="11"/>
        <v>10.75</v>
      </c>
      <c r="E39" s="72">
        <f t="shared" si="12"/>
        <v>0</v>
      </c>
      <c r="F39" s="72">
        <v>0</v>
      </c>
      <c r="G39" s="70">
        <f t="shared" si="13"/>
        <v>0.86</v>
      </c>
      <c r="H39" s="311">
        <v>44634</v>
      </c>
      <c r="I39" s="74">
        <f t="shared" si="16"/>
        <v>44627</v>
      </c>
      <c r="J39" s="324">
        <f t="shared" si="14"/>
        <v>7</v>
      </c>
      <c r="K39" s="391">
        <v>3.7900000000000003E-2</v>
      </c>
      <c r="L39" s="76">
        <v>44563</v>
      </c>
      <c r="M39" s="76"/>
      <c r="N39" s="72">
        <f t="shared" si="15"/>
        <v>0</v>
      </c>
    </row>
    <row r="40" spans="1:14" ht="16.5" customHeight="1" x14ac:dyDescent="0.25">
      <c r="A40" s="313"/>
      <c r="B40" s="73" t="s">
        <v>40</v>
      </c>
      <c r="C40" s="72">
        <v>17.32</v>
      </c>
      <c r="D40" s="70">
        <f t="shared" si="11"/>
        <v>17.32</v>
      </c>
      <c r="E40" s="72">
        <f t="shared" si="12"/>
        <v>0</v>
      </c>
      <c r="F40" s="72">
        <v>0</v>
      </c>
      <c r="G40" s="70">
        <f t="shared" si="13"/>
        <v>1.3855999999999999</v>
      </c>
      <c r="H40" s="311">
        <v>44634</v>
      </c>
      <c r="I40" s="74">
        <f t="shared" si="16"/>
        <v>44627</v>
      </c>
      <c r="J40" s="324">
        <f t="shared" si="14"/>
        <v>7</v>
      </c>
      <c r="K40" s="391">
        <v>3.7900000000000003E-2</v>
      </c>
      <c r="L40" s="76">
        <v>44564</v>
      </c>
      <c r="M40" s="76"/>
      <c r="N40" s="72">
        <f t="shared" si="15"/>
        <v>0</v>
      </c>
    </row>
    <row r="41" spans="1:14" ht="16.5" customHeight="1" x14ac:dyDescent="0.25">
      <c r="A41" s="313"/>
      <c r="B41" s="73" t="s">
        <v>41</v>
      </c>
      <c r="C41" s="72">
        <v>1550.94</v>
      </c>
      <c r="D41" s="70">
        <f t="shared" si="11"/>
        <v>1550.94</v>
      </c>
      <c r="E41" s="72">
        <f t="shared" si="12"/>
        <v>0</v>
      </c>
      <c r="F41" s="72">
        <v>0</v>
      </c>
      <c r="G41" s="70">
        <f t="shared" si="13"/>
        <v>124.07520000000001</v>
      </c>
      <c r="H41" s="311">
        <v>44634</v>
      </c>
      <c r="I41" s="74">
        <f t="shared" si="16"/>
        <v>44627</v>
      </c>
      <c r="J41" s="324">
        <f t="shared" si="14"/>
        <v>7</v>
      </c>
      <c r="K41" s="391">
        <v>3.7900000000000003E-2</v>
      </c>
      <c r="L41" s="76">
        <v>44565</v>
      </c>
      <c r="M41" s="76"/>
      <c r="N41" s="72">
        <f t="shared" si="15"/>
        <v>0</v>
      </c>
    </row>
    <row r="42" spans="1:14" ht="16.5" customHeight="1" x14ac:dyDescent="0.25">
      <c r="A42" s="313"/>
      <c r="B42" s="73" t="s">
        <v>42</v>
      </c>
      <c r="C42" s="72">
        <v>1036.79</v>
      </c>
      <c r="D42" s="70">
        <f t="shared" si="11"/>
        <v>1036.79</v>
      </c>
      <c r="E42" s="72">
        <f t="shared" si="12"/>
        <v>0</v>
      </c>
      <c r="F42" s="72">
        <f>'H.A Duração'!Y6</f>
        <v>120.36752000000007</v>
      </c>
      <c r="G42" s="70">
        <f t="shared" si="13"/>
        <v>92.572601599999999</v>
      </c>
      <c r="H42" s="311">
        <v>44634</v>
      </c>
      <c r="I42" s="74">
        <f t="shared" si="16"/>
        <v>44627</v>
      </c>
      <c r="J42" s="324">
        <f t="shared" si="14"/>
        <v>7</v>
      </c>
      <c r="K42" s="391">
        <v>3.7900000000000003E-2</v>
      </c>
      <c r="L42" s="76">
        <v>44566</v>
      </c>
      <c r="M42" s="76"/>
      <c r="N42" s="72">
        <f t="shared" si="15"/>
        <v>4.5619290080000034</v>
      </c>
    </row>
    <row r="43" spans="1:14" ht="16.5" customHeight="1" x14ac:dyDescent="0.25">
      <c r="A43" s="313"/>
      <c r="B43" s="73" t="s">
        <v>43</v>
      </c>
      <c r="C43" s="72">
        <v>56.47</v>
      </c>
      <c r="D43" s="70">
        <f t="shared" si="11"/>
        <v>56.47</v>
      </c>
      <c r="E43" s="72">
        <f t="shared" si="12"/>
        <v>0</v>
      </c>
      <c r="F43" s="72">
        <v>0</v>
      </c>
      <c r="G43" s="70">
        <f t="shared" si="13"/>
        <v>4.5175999999999998</v>
      </c>
      <c r="H43" s="311">
        <v>44624</v>
      </c>
      <c r="I43" s="74">
        <f t="shared" si="16"/>
        <v>44627</v>
      </c>
      <c r="J43" s="324">
        <v>0</v>
      </c>
      <c r="K43" s="391">
        <v>3.7900000000000003E-2</v>
      </c>
      <c r="L43" s="76">
        <v>44567</v>
      </c>
      <c r="M43" s="76"/>
      <c r="N43" s="72">
        <f t="shared" si="15"/>
        <v>0</v>
      </c>
    </row>
    <row r="44" spans="1:14" ht="16.5" customHeight="1" x14ac:dyDescent="0.25">
      <c r="A44" s="313"/>
      <c r="B44" s="73" t="s">
        <v>44</v>
      </c>
      <c r="C44" s="72">
        <v>263.98</v>
      </c>
      <c r="D44" s="70">
        <f t="shared" si="11"/>
        <v>263.98</v>
      </c>
      <c r="E44" s="72">
        <f t="shared" si="12"/>
        <v>0</v>
      </c>
      <c r="F44" s="72">
        <v>0</v>
      </c>
      <c r="G44" s="70">
        <f t="shared" si="13"/>
        <v>21.118400000000001</v>
      </c>
      <c r="H44" s="311">
        <v>44634</v>
      </c>
      <c r="I44" s="74">
        <f t="shared" si="16"/>
        <v>44627</v>
      </c>
      <c r="J44" s="324">
        <f t="shared" si="14"/>
        <v>7</v>
      </c>
      <c r="K44" s="391">
        <v>3.7900000000000003E-2</v>
      </c>
      <c r="L44" s="76">
        <v>44568</v>
      </c>
      <c r="M44" s="76"/>
      <c r="N44" s="72">
        <f t="shared" si="15"/>
        <v>0</v>
      </c>
    </row>
    <row r="45" spans="1:14" ht="16.5" customHeight="1" x14ac:dyDescent="0.25">
      <c r="A45" s="313"/>
      <c r="B45" s="73" t="s">
        <v>241</v>
      </c>
      <c r="C45" s="72">
        <v>546.17999999999995</v>
      </c>
      <c r="D45" s="70">
        <f t="shared" si="11"/>
        <v>546.17999999999995</v>
      </c>
      <c r="E45" s="72">
        <f t="shared" si="12"/>
        <v>0</v>
      </c>
      <c r="F45" s="72">
        <v>0</v>
      </c>
      <c r="G45" s="70">
        <f t="shared" si="13"/>
        <v>43.694399999999995</v>
      </c>
      <c r="H45" s="311">
        <v>44634</v>
      </c>
      <c r="I45" s="74">
        <f>I44</f>
        <v>44627</v>
      </c>
      <c r="J45" s="324">
        <f t="shared" si="14"/>
        <v>7</v>
      </c>
      <c r="K45" s="391">
        <v>3.7900000000000003E-2</v>
      </c>
      <c r="L45" s="76">
        <v>44570</v>
      </c>
      <c r="M45" s="76"/>
      <c r="N45" s="72">
        <f t="shared" si="15"/>
        <v>0</v>
      </c>
    </row>
    <row r="46" spans="1:14" ht="16.5" customHeight="1" x14ac:dyDescent="0.25">
      <c r="A46" s="313"/>
      <c r="B46" s="73" t="s">
        <v>46</v>
      </c>
      <c r="C46" s="72">
        <v>10.75</v>
      </c>
      <c r="D46" s="70">
        <f t="shared" si="11"/>
        <v>10.75</v>
      </c>
      <c r="E46" s="72">
        <f t="shared" si="12"/>
        <v>0</v>
      </c>
      <c r="F46" s="72">
        <v>0</v>
      </c>
      <c r="G46" s="70">
        <f t="shared" si="13"/>
        <v>0.86</v>
      </c>
      <c r="H46" s="311">
        <v>44634</v>
      </c>
      <c r="I46" s="74">
        <f t="shared" ref="I46:I100" si="17">I45</f>
        <v>44627</v>
      </c>
      <c r="J46" s="324">
        <f t="shared" si="14"/>
        <v>7</v>
      </c>
      <c r="K46" s="391">
        <v>3.7900000000000003E-2</v>
      </c>
      <c r="L46" s="76">
        <v>44571</v>
      </c>
      <c r="M46" s="76"/>
      <c r="N46" s="72">
        <f t="shared" si="15"/>
        <v>0</v>
      </c>
    </row>
    <row r="47" spans="1:14" ht="16.5" customHeight="1" x14ac:dyDescent="0.25">
      <c r="A47" s="313"/>
      <c r="B47" s="73" t="s">
        <v>47</v>
      </c>
      <c r="C47" s="72">
        <v>204.41</v>
      </c>
      <c r="D47" s="70">
        <f t="shared" si="11"/>
        <v>204.41</v>
      </c>
      <c r="E47" s="72">
        <f t="shared" si="12"/>
        <v>0</v>
      </c>
      <c r="F47" s="72">
        <v>0</v>
      </c>
      <c r="G47" s="70">
        <f t="shared" si="13"/>
        <v>16.352799999999998</v>
      </c>
      <c r="H47" s="311">
        <v>44634</v>
      </c>
      <c r="I47" s="74">
        <f t="shared" si="17"/>
        <v>44627</v>
      </c>
      <c r="J47" s="324">
        <f t="shared" si="14"/>
        <v>7</v>
      </c>
      <c r="K47" s="391">
        <v>3.7900000000000003E-2</v>
      </c>
      <c r="L47" s="76">
        <v>44572</v>
      </c>
      <c r="M47" s="76"/>
      <c r="N47" s="72">
        <f t="shared" si="15"/>
        <v>0</v>
      </c>
    </row>
    <row r="48" spans="1:14" ht="16.5" customHeight="1" x14ac:dyDescent="0.25">
      <c r="A48" s="313"/>
      <c r="B48" s="73" t="s">
        <v>2</v>
      </c>
      <c r="C48" s="72">
        <v>220.04</v>
      </c>
      <c r="D48" s="70">
        <f t="shared" si="11"/>
        <v>220.04</v>
      </c>
      <c r="E48" s="72">
        <f t="shared" si="12"/>
        <v>0</v>
      </c>
      <c r="F48" s="72">
        <v>0</v>
      </c>
      <c r="G48" s="70">
        <f t="shared" si="13"/>
        <v>17.603200000000001</v>
      </c>
      <c r="H48" s="76">
        <v>44635</v>
      </c>
      <c r="I48" s="74">
        <f t="shared" si="17"/>
        <v>44627</v>
      </c>
      <c r="J48" s="324">
        <f t="shared" si="14"/>
        <v>8</v>
      </c>
      <c r="K48" s="391">
        <v>3.7900000000000003E-2</v>
      </c>
      <c r="L48" s="76">
        <v>44573</v>
      </c>
      <c r="M48" s="76"/>
      <c r="N48" s="72">
        <f t="shared" si="15"/>
        <v>0</v>
      </c>
    </row>
    <row r="49" spans="1:14" ht="16.5" customHeight="1" x14ac:dyDescent="0.25">
      <c r="A49" s="313"/>
      <c r="B49" s="73" t="s">
        <v>50</v>
      </c>
      <c r="C49" s="72">
        <v>245.01</v>
      </c>
      <c r="D49" s="70">
        <f t="shared" si="11"/>
        <v>245.01</v>
      </c>
      <c r="E49" s="72">
        <f t="shared" si="12"/>
        <v>0</v>
      </c>
      <c r="F49" s="72">
        <v>0</v>
      </c>
      <c r="G49" s="70">
        <f t="shared" si="13"/>
        <v>19.6008</v>
      </c>
      <c r="H49" s="311">
        <v>44634</v>
      </c>
      <c r="I49" s="74">
        <f t="shared" si="17"/>
        <v>44627</v>
      </c>
      <c r="J49" s="324">
        <f t="shared" si="14"/>
        <v>7</v>
      </c>
      <c r="K49" s="391">
        <v>3.7900000000000003E-2</v>
      </c>
      <c r="L49" s="76">
        <v>44574</v>
      </c>
      <c r="M49" s="76"/>
      <c r="N49" s="72">
        <f t="shared" si="15"/>
        <v>0</v>
      </c>
    </row>
    <row r="50" spans="1:14" ht="16.5" customHeight="1" x14ac:dyDescent="0.25">
      <c r="A50" s="313"/>
      <c r="B50" s="73" t="s">
        <v>51</v>
      </c>
      <c r="C50" s="72">
        <v>195.12</v>
      </c>
      <c r="D50" s="70">
        <f t="shared" si="11"/>
        <v>195.12</v>
      </c>
      <c r="E50" s="72">
        <f t="shared" si="12"/>
        <v>0</v>
      </c>
      <c r="F50" s="72">
        <v>0</v>
      </c>
      <c r="G50" s="70">
        <f t="shared" si="13"/>
        <v>15.6096</v>
      </c>
      <c r="H50" s="311">
        <v>44634</v>
      </c>
      <c r="I50" s="74">
        <f t="shared" si="17"/>
        <v>44627</v>
      </c>
      <c r="J50" s="324">
        <f t="shared" si="14"/>
        <v>7</v>
      </c>
      <c r="K50" s="391">
        <v>3.7900000000000003E-2</v>
      </c>
      <c r="L50" s="76">
        <v>44575</v>
      </c>
      <c r="M50" s="76"/>
      <c r="N50" s="72">
        <f t="shared" si="15"/>
        <v>0</v>
      </c>
    </row>
    <row r="51" spans="1:14" ht="16.5" customHeight="1" x14ac:dyDescent="0.25">
      <c r="A51" s="313"/>
      <c r="B51" s="73" t="s">
        <v>52</v>
      </c>
      <c r="C51" s="72">
        <v>63.81</v>
      </c>
      <c r="D51" s="70">
        <f t="shared" si="11"/>
        <v>63.81</v>
      </c>
      <c r="E51" s="72">
        <f t="shared" si="12"/>
        <v>0</v>
      </c>
      <c r="F51" s="72">
        <v>0</v>
      </c>
      <c r="G51" s="70">
        <f t="shared" si="13"/>
        <v>5.1048</v>
      </c>
      <c r="H51" s="311">
        <v>44634</v>
      </c>
      <c r="I51" s="74">
        <f t="shared" si="17"/>
        <v>44627</v>
      </c>
      <c r="J51" s="324">
        <f t="shared" si="14"/>
        <v>7</v>
      </c>
      <c r="K51" s="391">
        <v>3.7900000000000003E-2</v>
      </c>
      <c r="L51" s="76">
        <v>44576</v>
      </c>
      <c r="M51" s="76"/>
      <c r="N51" s="72">
        <f t="shared" si="15"/>
        <v>0</v>
      </c>
    </row>
    <row r="52" spans="1:14" ht="16.5" customHeight="1" x14ac:dyDescent="0.25">
      <c r="A52" s="313"/>
      <c r="B52" s="73" t="s">
        <v>53</v>
      </c>
      <c r="C52" s="72">
        <v>1531.01</v>
      </c>
      <c r="D52" s="70">
        <f t="shared" si="11"/>
        <v>1531.01</v>
      </c>
      <c r="E52" s="72">
        <f t="shared" si="12"/>
        <v>0</v>
      </c>
      <c r="F52" s="72">
        <f>'H.A Duração'!Y9</f>
        <v>127.77475200000023</v>
      </c>
      <c r="G52" s="70">
        <f t="shared" si="13"/>
        <v>132.70278016000003</v>
      </c>
      <c r="H52" s="311">
        <v>44634</v>
      </c>
      <c r="I52" s="74">
        <f t="shared" si="17"/>
        <v>44627</v>
      </c>
      <c r="J52" s="324">
        <f t="shared" si="14"/>
        <v>7</v>
      </c>
      <c r="K52" s="391">
        <v>3.7900000000000003E-2</v>
      </c>
      <c r="L52" s="76">
        <v>44577</v>
      </c>
      <c r="M52" s="76"/>
      <c r="N52" s="72">
        <f t="shared" si="15"/>
        <v>4.8426631008000092</v>
      </c>
    </row>
    <row r="53" spans="1:14" ht="16.5" customHeight="1" x14ac:dyDescent="0.25">
      <c r="A53" s="313"/>
      <c r="B53" s="73" t="s">
        <v>54</v>
      </c>
      <c r="C53" s="72">
        <v>15.46</v>
      </c>
      <c r="D53" s="70">
        <f t="shared" si="11"/>
        <v>15.46</v>
      </c>
      <c r="E53" s="72">
        <f t="shared" si="12"/>
        <v>0</v>
      </c>
      <c r="F53" s="72">
        <v>0</v>
      </c>
      <c r="G53" s="70">
        <f t="shared" si="13"/>
        <v>1.2368000000000001</v>
      </c>
      <c r="H53" s="311">
        <v>44634</v>
      </c>
      <c r="I53" s="74">
        <f t="shared" si="17"/>
        <v>44627</v>
      </c>
      <c r="J53" s="324">
        <f t="shared" si="14"/>
        <v>7</v>
      </c>
      <c r="K53" s="391">
        <v>3.7900000000000003E-2</v>
      </c>
      <c r="L53" s="76">
        <v>44578</v>
      </c>
      <c r="M53" s="76"/>
      <c r="N53" s="72">
        <f t="shared" si="15"/>
        <v>0</v>
      </c>
    </row>
    <row r="54" spans="1:14" ht="16.5" customHeight="1" x14ac:dyDescent="0.25">
      <c r="A54" s="313"/>
      <c r="B54" s="73" t="s">
        <v>55</v>
      </c>
      <c r="C54" s="72">
        <v>7.69</v>
      </c>
      <c r="D54" s="70">
        <f t="shared" si="11"/>
        <v>7.69</v>
      </c>
      <c r="E54" s="72">
        <f t="shared" si="12"/>
        <v>0</v>
      </c>
      <c r="F54" s="72">
        <v>0</v>
      </c>
      <c r="G54" s="70">
        <f t="shared" si="13"/>
        <v>0.61520000000000008</v>
      </c>
      <c r="H54" s="311">
        <v>44634</v>
      </c>
      <c r="I54" s="74">
        <f t="shared" si="17"/>
        <v>44627</v>
      </c>
      <c r="J54" s="324">
        <f t="shared" si="14"/>
        <v>7</v>
      </c>
      <c r="K54" s="391">
        <v>3.7900000000000003E-2</v>
      </c>
      <c r="L54" s="76">
        <v>44579</v>
      </c>
      <c r="M54" s="76"/>
      <c r="N54" s="72">
        <f t="shared" si="15"/>
        <v>0</v>
      </c>
    </row>
    <row r="55" spans="1:14" ht="16.5" customHeight="1" x14ac:dyDescent="0.25">
      <c r="A55" s="313"/>
      <c r="B55" s="73" t="s">
        <v>56</v>
      </c>
      <c r="C55" s="72">
        <v>128.62</v>
      </c>
      <c r="D55" s="70">
        <f t="shared" si="11"/>
        <v>128.62</v>
      </c>
      <c r="E55" s="72">
        <f t="shared" si="12"/>
        <v>0</v>
      </c>
      <c r="F55" s="72">
        <v>0</v>
      </c>
      <c r="G55" s="70">
        <f t="shared" si="13"/>
        <v>10.2896</v>
      </c>
      <c r="H55" s="311">
        <v>44634</v>
      </c>
      <c r="I55" s="74">
        <f t="shared" si="17"/>
        <v>44627</v>
      </c>
      <c r="J55" s="324">
        <f t="shared" si="14"/>
        <v>7</v>
      </c>
      <c r="K55" s="391">
        <v>3.7900000000000003E-2</v>
      </c>
      <c r="L55" s="76">
        <v>44580</v>
      </c>
      <c r="M55" s="76"/>
      <c r="N55" s="72">
        <f t="shared" si="15"/>
        <v>0</v>
      </c>
    </row>
    <row r="56" spans="1:14" ht="16.5" customHeight="1" x14ac:dyDescent="0.25">
      <c r="A56" s="313"/>
      <c r="B56" s="73" t="s">
        <v>57</v>
      </c>
      <c r="C56" s="72">
        <v>7.54</v>
      </c>
      <c r="D56" s="70">
        <f t="shared" si="11"/>
        <v>7.54</v>
      </c>
      <c r="E56" s="72">
        <f t="shared" si="12"/>
        <v>0</v>
      </c>
      <c r="F56" s="72">
        <v>0</v>
      </c>
      <c r="G56" s="70">
        <f t="shared" si="13"/>
        <v>0.60320000000000007</v>
      </c>
      <c r="H56" s="311">
        <v>44634</v>
      </c>
      <c r="I56" s="74">
        <f t="shared" si="17"/>
        <v>44627</v>
      </c>
      <c r="J56" s="324">
        <f t="shared" si="14"/>
        <v>7</v>
      </c>
      <c r="K56" s="391">
        <v>3.7900000000000003E-2</v>
      </c>
      <c r="L56" s="76">
        <v>44581</v>
      </c>
      <c r="M56" s="76"/>
      <c r="N56" s="72">
        <f t="shared" si="15"/>
        <v>0</v>
      </c>
    </row>
    <row r="57" spans="1:14" ht="16.5" customHeight="1" x14ac:dyDescent="0.25">
      <c r="A57" s="313"/>
      <c r="B57" s="73" t="s">
        <v>220</v>
      </c>
      <c r="C57" s="72">
        <v>1724.44</v>
      </c>
      <c r="D57" s="70">
        <f t="shared" si="11"/>
        <v>1724.44</v>
      </c>
      <c r="E57" s="72">
        <f t="shared" si="12"/>
        <v>0</v>
      </c>
      <c r="F57" s="72">
        <v>0</v>
      </c>
      <c r="G57" s="70">
        <f t="shared" si="13"/>
        <v>137.95520000000002</v>
      </c>
      <c r="H57" s="311">
        <v>44634</v>
      </c>
      <c r="I57" s="74">
        <f t="shared" si="17"/>
        <v>44627</v>
      </c>
      <c r="J57" s="324">
        <f t="shared" si="14"/>
        <v>7</v>
      </c>
      <c r="K57" s="391">
        <v>3.7900000000000003E-2</v>
      </c>
      <c r="L57" s="76">
        <v>44582</v>
      </c>
      <c r="M57" s="76"/>
      <c r="N57" s="72">
        <f t="shared" si="15"/>
        <v>0</v>
      </c>
    </row>
    <row r="58" spans="1:14" ht="16.5" customHeight="1" x14ac:dyDescent="0.25">
      <c r="A58" s="313"/>
      <c r="B58" s="73" t="s">
        <v>122</v>
      </c>
      <c r="C58" s="72">
        <v>86.78</v>
      </c>
      <c r="D58" s="70">
        <f t="shared" si="11"/>
        <v>86.78</v>
      </c>
      <c r="E58" s="72">
        <f t="shared" si="12"/>
        <v>0</v>
      </c>
      <c r="F58" s="72">
        <v>0</v>
      </c>
      <c r="G58" s="70">
        <f t="shared" si="13"/>
        <v>6.9424000000000001</v>
      </c>
      <c r="H58" s="311">
        <v>44634</v>
      </c>
      <c r="I58" s="74">
        <f t="shared" si="17"/>
        <v>44627</v>
      </c>
      <c r="J58" s="324">
        <f t="shared" si="14"/>
        <v>7</v>
      </c>
      <c r="K58" s="391">
        <v>3.7900000000000003E-2</v>
      </c>
      <c r="L58" s="76">
        <v>44583</v>
      </c>
      <c r="M58" s="76"/>
      <c r="N58" s="72">
        <f t="shared" si="15"/>
        <v>0</v>
      </c>
    </row>
    <row r="59" spans="1:14" ht="16.5" customHeight="1" x14ac:dyDescent="0.25">
      <c r="A59" s="313"/>
      <c r="B59" s="73" t="s">
        <v>4</v>
      </c>
      <c r="C59" s="72">
        <v>394.27</v>
      </c>
      <c r="D59" s="70">
        <f t="shared" si="11"/>
        <v>394.27</v>
      </c>
      <c r="E59" s="72">
        <f t="shared" si="12"/>
        <v>0</v>
      </c>
      <c r="F59" s="72">
        <v>0</v>
      </c>
      <c r="G59" s="70">
        <f t="shared" si="13"/>
        <v>31.541599999999999</v>
      </c>
      <c r="H59" s="311">
        <v>44634</v>
      </c>
      <c r="I59" s="74">
        <f t="shared" si="17"/>
        <v>44627</v>
      </c>
      <c r="J59" s="324">
        <f t="shared" si="14"/>
        <v>7</v>
      </c>
      <c r="K59" s="391">
        <v>3.7900000000000003E-2</v>
      </c>
      <c r="L59" s="76">
        <v>44584</v>
      </c>
      <c r="M59" s="76"/>
      <c r="N59" s="72">
        <f t="shared" si="15"/>
        <v>0</v>
      </c>
    </row>
    <row r="60" spans="1:14" ht="16.5" customHeight="1" x14ac:dyDescent="0.25">
      <c r="A60" s="313"/>
      <c r="B60" s="73" t="s">
        <v>24</v>
      </c>
      <c r="C60" s="72">
        <v>81.45</v>
      </c>
      <c r="D60" s="70">
        <f t="shared" si="11"/>
        <v>81.45</v>
      </c>
      <c r="E60" s="72">
        <f t="shared" si="12"/>
        <v>0</v>
      </c>
      <c r="F60" s="72">
        <v>0</v>
      </c>
      <c r="G60" s="70">
        <f t="shared" si="13"/>
        <v>6.516</v>
      </c>
      <c r="H60" s="311">
        <v>44634</v>
      </c>
      <c r="I60" s="74">
        <f t="shared" si="17"/>
        <v>44627</v>
      </c>
      <c r="J60" s="324">
        <f t="shared" si="14"/>
        <v>7</v>
      </c>
      <c r="K60" s="391">
        <v>3.7900000000000003E-2</v>
      </c>
      <c r="L60" s="76">
        <v>44585</v>
      </c>
      <c r="M60" s="76"/>
      <c r="N60" s="72">
        <f t="shared" si="15"/>
        <v>0</v>
      </c>
    </row>
    <row r="61" spans="1:14" ht="16.5" customHeight="1" x14ac:dyDescent="0.25">
      <c r="A61" s="313"/>
      <c r="B61" s="73" t="s">
        <v>58</v>
      </c>
      <c r="C61" s="72">
        <v>8.25</v>
      </c>
      <c r="D61" s="70">
        <f t="shared" si="11"/>
        <v>8.25</v>
      </c>
      <c r="E61" s="72">
        <f t="shared" si="12"/>
        <v>0</v>
      </c>
      <c r="F61" s="72">
        <v>0</v>
      </c>
      <c r="G61" s="70">
        <f t="shared" si="13"/>
        <v>0.66</v>
      </c>
      <c r="H61" s="311">
        <v>44634</v>
      </c>
      <c r="I61" s="74">
        <f t="shared" si="17"/>
        <v>44627</v>
      </c>
      <c r="J61" s="324">
        <f t="shared" si="14"/>
        <v>7</v>
      </c>
      <c r="K61" s="391">
        <v>3.7900000000000003E-2</v>
      </c>
      <c r="L61" s="76">
        <v>44586</v>
      </c>
      <c r="M61" s="76"/>
      <c r="N61" s="72">
        <f t="shared" si="15"/>
        <v>0</v>
      </c>
    </row>
    <row r="62" spans="1:14" ht="16.5" customHeight="1" x14ac:dyDescent="0.25">
      <c r="A62" s="313"/>
      <c r="B62" s="73" t="s">
        <v>59</v>
      </c>
      <c r="C62" s="72">
        <v>69.25</v>
      </c>
      <c r="D62" s="70">
        <f t="shared" si="11"/>
        <v>69.25</v>
      </c>
      <c r="E62" s="72">
        <f t="shared" si="12"/>
        <v>0</v>
      </c>
      <c r="F62" s="72">
        <v>0</v>
      </c>
      <c r="G62" s="70">
        <f t="shared" si="13"/>
        <v>5.54</v>
      </c>
      <c r="H62" s="311">
        <v>44634</v>
      </c>
      <c r="I62" s="74">
        <f t="shared" si="17"/>
        <v>44627</v>
      </c>
      <c r="J62" s="324">
        <f t="shared" si="14"/>
        <v>7</v>
      </c>
      <c r="K62" s="391">
        <v>3.7900000000000003E-2</v>
      </c>
      <c r="L62" s="76">
        <v>44587</v>
      </c>
      <c r="M62" s="76"/>
      <c r="N62" s="72">
        <f t="shared" si="15"/>
        <v>0</v>
      </c>
    </row>
    <row r="63" spans="1:14" ht="16.5" customHeight="1" x14ac:dyDescent="0.25">
      <c r="A63" s="313"/>
      <c r="B63" s="73" t="s">
        <v>242</v>
      </c>
      <c r="C63" s="72">
        <v>432.53</v>
      </c>
      <c r="D63" s="70">
        <f t="shared" si="11"/>
        <v>432.53</v>
      </c>
      <c r="E63" s="72">
        <f t="shared" si="12"/>
        <v>0</v>
      </c>
      <c r="F63" s="72">
        <v>0</v>
      </c>
      <c r="G63" s="70">
        <f t="shared" si="13"/>
        <v>34.602399999999996</v>
      </c>
      <c r="H63" s="311">
        <v>44634</v>
      </c>
      <c r="I63" s="74">
        <f t="shared" si="17"/>
        <v>44627</v>
      </c>
      <c r="J63" s="324">
        <f t="shared" si="14"/>
        <v>7</v>
      </c>
      <c r="K63" s="391">
        <v>3.7900000000000003E-2</v>
      </c>
      <c r="L63" s="76">
        <v>44588</v>
      </c>
      <c r="M63" s="76"/>
      <c r="N63" s="72">
        <f t="shared" si="15"/>
        <v>0</v>
      </c>
    </row>
    <row r="64" spans="1:14" ht="16.5" customHeight="1" x14ac:dyDescent="0.25">
      <c r="A64" s="313"/>
      <c r="B64" s="73" t="s">
        <v>62</v>
      </c>
      <c r="C64" s="72">
        <v>5.0599999999999996</v>
      </c>
      <c r="D64" s="70">
        <f t="shared" si="11"/>
        <v>5.0599999999999996</v>
      </c>
      <c r="E64" s="72">
        <f t="shared" si="12"/>
        <v>0</v>
      </c>
      <c r="F64" s="72">
        <v>0</v>
      </c>
      <c r="G64" s="70">
        <f t="shared" si="13"/>
        <v>0.40479999999999999</v>
      </c>
      <c r="H64" s="311">
        <v>44634</v>
      </c>
      <c r="I64" s="74">
        <f t="shared" si="17"/>
        <v>44627</v>
      </c>
      <c r="J64" s="324">
        <f t="shared" si="14"/>
        <v>7</v>
      </c>
      <c r="K64" s="391">
        <v>3.7900000000000003E-2</v>
      </c>
      <c r="L64" s="76">
        <v>44589</v>
      </c>
      <c r="M64" s="76"/>
      <c r="N64" s="72">
        <f t="shared" si="15"/>
        <v>0</v>
      </c>
    </row>
    <row r="65" spans="1:14" ht="16.5" customHeight="1" x14ac:dyDescent="0.25">
      <c r="A65" s="313"/>
      <c r="B65" s="73" t="s">
        <v>63</v>
      </c>
      <c r="C65" s="72">
        <v>52.11</v>
      </c>
      <c r="D65" s="70">
        <f t="shared" si="11"/>
        <v>52.11</v>
      </c>
      <c r="E65" s="72">
        <f t="shared" si="12"/>
        <v>0</v>
      </c>
      <c r="F65" s="72">
        <v>0</v>
      </c>
      <c r="G65" s="70">
        <f t="shared" si="13"/>
        <v>4.1688000000000001</v>
      </c>
      <c r="H65" s="311">
        <v>44634</v>
      </c>
      <c r="I65" s="74">
        <f t="shared" si="17"/>
        <v>44627</v>
      </c>
      <c r="J65" s="324">
        <f t="shared" si="14"/>
        <v>7</v>
      </c>
      <c r="K65" s="391">
        <v>3.7900000000000003E-2</v>
      </c>
      <c r="L65" s="76">
        <v>44590</v>
      </c>
      <c r="M65" s="76"/>
      <c r="N65" s="72">
        <f t="shared" si="15"/>
        <v>0</v>
      </c>
    </row>
    <row r="66" spans="1:14" ht="16.5" customHeight="1" x14ac:dyDescent="0.25">
      <c r="A66" s="313"/>
      <c r="B66" s="73" t="s">
        <v>64</v>
      </c>
      <c r="C66" s="72">
        <v>19.14</v>
      </c>
      <c r="D66" s="70">
        <f t="shared" si="11"/>
        <v>19.14</v>
      </c>
      <c r="E66" s="72">
        <f t="shared" si="12"/>
        <v>0</v>
      </c>
      <c r="F66" s="72">
        <v>0</v>
      </c>
      <c r="G66" s="70">
        <f t="shared" si="13"/>
        <v>1.5312000000000001</v>
      </c>
      <c r="H66" s="311">
        <v>44634</v>
      </c>
      <c r="I66" s="74">
        <f t="shared" si="17"/>
        <v>44627</v>
      </c>
      <c r="J66" s="324">
        <f t="shared" si="14"/>
        <v>7</v>
      </c>
      <c r="K66" s="391">
        <v>3.7900000000000003E-2</v>
      </c>
      <c r="L66" s="76">
        <v>44591</v>
      </c>
      <c r="M66" s="76"/>
      <c r="N66" s="72">
        <f t="shared" si="15"/>
        <v>0</v>
      </c>
    </row>
    <row r="67" spans="1:14" ht="16.5" customHeight="1" x14ac:dyDescent="0.25">
      <c r="A67" s="313"/>
      <c r="B67" s="73" t="s">
        <v>65</v>
      </c>
      <c r="C67" s="72">
        <v>461.05</v>
      </c>
      <c r="D67" s="70">
        <f t="shared" si="11"/>
        <v>461.05</v>
      </c>
      <c r="E67" s="72">
        <f t="shared" si="12"/>
        <v>0</v>
      </c>
      <c r="F67" s="72">
        <v>0</v>
      </c>
      <c r="G67" s="70">
        <f t="shared" si="13"/>
        <v>36.884</v>
      </c>
      <c r="H67" s="311">
        <v>44634</v>
      </c>
      <c r="I67" s="74">
        <f t="shared" si="17"/>
        <v>44627</v>
      </c>
      <c r="J67" s="324">
        <f t="shared" si="14"/>
        <v>7</v>
      </c>
      <c r="K67" s="391">
        <v>3.7900000000000003E-2</v>
      </c>
      <c r="L67" s="76">
        <v>44592</v>
      </c>
      <c r="M67" s="76"/>
      <c r="N67" s="72">
        <f t="shared" si="15"/>
        <v>0</v>
      </c>
    </row>
    <row r="68" spans="1:14" ht="16.5" customHeight="1" x14ac:dyDescent="0.25">
      <c r="A68" s="313"/>
      <c r="B68" s="73" t="s">
        <v>66</v>
      </c>
      <c r="C68" s="72">
        <v>1491.38</v>
      </c>
      <c r="D68" s="70">
        <f t="shared" si="11"/>
        <v>1491.38</v>
      </c>
      <c r="E68" s="72">
        <f t="shared" si="12"/>
        <v>0</v>
      </c>
      <c r="F68" s="72">
        <f>'H.A Duração'!Y13</f>
        <v>323.14049600000021</v>
      </c>
      <c r="G68" s="70">
        <f t="shared" si="13"/>
        <v>145.16163968000004</v>
      </c>
      <c r="H68" s="311">
        <v>44634</v>
      </c>
      <c r="I68" s="74">
        <f t="shared" si="17"/>
        <v>44627</v>
      </c>
      <c r="J68" s="324">
        <f t="shared" si="14"/>
        <v>7</v>
      </c>
      <c r="K68" s="391">
        <v>3.7900000000000003E-2</v>
      </c>
      <c r="L68" s="76">
        <v>44593</v>
      </c>
      <c r="M68" s="76"/>
      <c r="N68" s="72">
        <f t="shared" si="15"/>
        <v>12.247024798400009</v>
      </c>
    </row>
    <row r="69" spans="1:14" ht="16.5" customHeight="1" x14ac:dyDescent="0.25">
      <c r="A69" s="313"/>
      <c r="B69" s="73" t="s">
        <v>67</v>
      </c>
      <c r="C69" s="72">
        <v>82.68</v>
      </c>
      <c r="D69" s="70">
        <f t="shared" si="11"/>
        <v>82.68</v>
      </c>
      <c r="E69" s="72">
        <f t="shared" si="12"/>
        <v>0</v>
      </c>
      <c r="F69" s="72">
        <v>0</v>
      </c>
      <c r="G69" s="70">
        <f t="shared" si="13"/>
        <v>6.6144000000000007</v>
      </c>
      <c r="H69" s="311">
        <v>44634</v>
      </c>
      <c r="I69" s="74">
        <f t="shared" si="17"/>
        <v>44627</v>
      </c>
      <c r="J69" s="324">
        <f t="shared" si="14"/>
        <v>7</v>
      </c>
      <c r="K69" s="391">
        <v>3.7900000000000003E-2</v>
      </c>
      <c r="L69" s="76">
        <v>44594</v>
      </c>
      <c r="M69" s="76"/>
      <c r="N69" s="72">
        <f t="shared" si="15"/>
        <v>0</v>
      </c>
    </row>
    <row r="70" spans="1:14" ht="16.5" customHeight="1" x14ac:dyDescent="0.25">
      <c r="A70" s="313"/>
      <c r="B70" s="73" t="s">
        <v>109</v>
      </c>
      <c r="C70" s="72">
        <v>344.8</v>
      </c>
      <c r="D70" s="70">
        <f t="shared" si="11"/>
        <v>344.8</v>
      </c>
      <c r="E70" s="72">
        <f t="shared" si="12"/>
        <v>0</v>
      </c>
      <c r="F70" s="72">
        <v>0</v>
      </c>
      <c r="G70" s="70">
        <f t="shared" si="13"/>
        <v>27.584000000000003</v>
      </c>
      <c r="H70" s="311">
        <v>44634</v>
      </c>
      <c r="I70" s="74">
        <f t="shared" si="17"/>
        <v>44627</v>
      </c>
      <c r="J70" s="324">
        <f t="shared" si="14"/>
        <v>7</v>
      </c>
      <c r="K70" s="391">
        <v>3.7900000000000003E-2</v>
      </c>
      <c r="L70" s="76">
        <v>44595</v>
      </c>
      <c r="M70" s="76"/>
      <c r="N70" s="72">
        <f t="shared" si="15"/>
        <v>0</v>
      </c>
    </row>
    <row r="71" spans="1:14" ht="16.5" customHeight="1" x14ac:dyDescent="0.25">
      <c r="A71" s="313"/>
      <c r="B71" s="73" t="s">
        <v>69</v>
      </c>
      <c r="C71" s="72">
        <v>57.14</v>
      </c>
      <c r="D71" s="70">
        <f t="shared" si="11"/>
        <v>57.14</v>
      </c>
      <c r="E71" s="72">
        <f t="shared" si="12"/>
        <v>0</v>
      </c>
      <c r="F71" s="72">
        <v>0</v>
      </c>
      <c r="G71" s="70">
        <f t="shared" si="13"/>
        <v>4.5712000000000002</v>
      </c>
      <c r="H71" s="311">
        <v>44634</v>
      </c>
      <c r="I71" s="74">
        <f t="shared" si="17"/>
        <v>44627</v>
      </c>
      <c r="J71" s="324">
        <f t="shared" si="14"/>
        <v>7</v>
      </c>
      <c r="K71" s="391">
        <v>3.7900000000000003E-2</v>
      </c>
      <c r="L71" s="76">
        <v>44596</v>
      </c>
      <c r="M71" s="76"/>
      <c r="N71" s="72">
        <f t="shared" si="15"/>
        <v>0</v>
      </c>
    </row>
    <row r="72" spans="1:14" ht="16.5" customHeight="1" x14ac:dyDescent="0.25">
      <c r="A72" s="313"/>
      <c r="B72" s="73" t="s">
        <v>72</v>
      </c>
      <c r="C72" s="72">
        <v>64.72</v>
      </c>
      <c r="D72" s="70">
        <v>0</v>
      </c>
      <c r="E72" s="72">
        <v>64.72</v>
      </c>
      <c r="F72" s="72">
        <v>0</v>
      </c>
      <c r="G72" s="70">
        <f t="shared" si="13"/>
        <v>5.1776</v>
      </c>
      <c r="H72" s="76"/>
      <c r="I72" s="74">
        <f t="shared" si="17"/>
        <v>44627</v>
      </c>
      <c r="J72" s="324">
        <v>0</v>
      </c>
      <c r="K72" s="391">
        <v>3.7900000000000003E-2</v>
      </c>
      <c r="L72" s="76">
        <v>44597</v>
      </c>
      <c r="M72" s="76"/>
      <c r="N72" s="72">
        <f t="shared" si="15"/>
        <v>2.4528880000000002</v>
      </c>
    </row>
    <row r="73" spans="1:14" ht="16.5" customHeight="1" x14ac:dyDescent="0.25">
      <c r="A73" s="313"/>
      <c r="B73" s="73" t="s">
        <v>73</v>
      </c>
      <c r="C73" s="72">
        <v>649.25</v>
      </c>
      <c r="D73" s="70">
        <f t="shared" si="11"/>
        <v>649.25</v>
      </c>
      <c r="E73" s="72">
        <f t="shared" si="12"/>
        <v>0</v>
      </c>
      <c r="F73" s="72">
        <v>0</v>
      </c>
      <c r="G73" s="70">
        <f t="shared" si="13"/>
        <v>51.94</v>
      </c>
      <c r="H73" s="311">
        <v>44634</v>
      </c>
      <c r="I73" s="74">
        <f t="shared" si="17"/>
        <v>44627</v>
      </c>
      <c r="J73" s="324">
        <f t="shared" si="14"/>
        <v>7</v>
      </c>
      <c r="K73" s="391">
        <v>3.7900000000000003E-2</v>
      </c>
      <c r="L73" s="76">
        <v>44598</v>
      </c>
      <c r="M73" s="76"/>
      <c r="N73" s="72">
        <f t="shared" si="15"/>
        <v>0</v>
      </c>
    </row>
    <row r="74" spans="1:14" ht="16.5" customHeight="1" x14ac:dyDescent="0.25">
      <c r="A74" s="313"/>
      <c r="B74" s="73" t="s">
        <v>74</v>
      </c>
      <c r="C74" s="72">
        <v>4032.4</v>
      </c>
      <c r="D74" s="70">
        <f t="shared" si="11"/>
        <v>4032.4</v>
      </c>
      <c r="E74" s="72">
        <f t="shared" si="12"/>
        <v>0</v>
      </c>
      <c r="F74" s="72">
        <f>'H.A Duração'!Y14</f>
        <v>1333.343834666666</v>
      </c>
      <c r="G74" s="70">
        <f t="shared" si="13"/>
        <v>429.25950677333327</v>
      </c>
      <c r="H74" s="76">
        <v>44634</v>
      </c>
      <c r="I74" s="74">
        <f t="shared" si="17"/>
        <v>44627</v>
      </c>
      <c r="J74" s="324">
        <f t="shared" si="14"/>
        <v>7</v>
      </c>
      <c r="K74" s="391">
        <v>3.7900000000000003E-2</v>
      </c>
      <c r="L74" s="76">
        <v>44599</v>
      </c>
      <c r="M74" s="76"/>
      <c r="N74" s="72">
        <f t="shared" si="15"/>
        <v>50.533731333866648</v>
      </c>
    </row>
    <row r="75" spans="1:14" ht="16.5" customHeight="1" x14ac:dyDescent="0.25">
      <c r="A75" s="313"/>
      <c r="B75" s="73" t="s">
        <v>10</v>
      </c>
      <c r="C75" s="72">
        <v>118.18</v>
      </c>
      <c r="D75" s="70">
        <f t="shared" si="11"/>
        <v>118.18</v>
      </c>
      <c r="E75" s="72">
        <f t="shared" si="12"/>
        <v>0</v>
      </c>
      <c r="F75" s="72">
        <v>0</v>
      </c>
      <c r="G75" s="70">
        <f t="shared" si="13"/>
        <v>9.4544000000000015</v>
      </c>
      <c r="H75" s="311">
        <v>44634</v>
      </c>
      <c r="I75" s="74">
        <f t="shared" si="17"/>
        <v>44627</v>
      </c>
      <c r="J75" s="324">
        <f t="shared" si="14"/>
        <v>7</v>
      </c>
      <c r="K75" s="391">
        <v>3.7900000000000003E-2</v>
      </c>
      <c r="L75" s="76">
        <v>44600</v>
      </c>
      <c r="M75" s="76"/>
      <c r="N75" s="72">
        <f t="shared" si="15"/>
        <v>0</v>
      </c>
    </row>
    <row r="76" spans="1:14" ht="16.5" customHeight="1" x14ac:dyDescent="0.25">
      <c r="A76" s="313"/>
      <c r="B76" s="73" t="s">
        <v>77</v>
      </c>
      <c r="C76" s="72">
        <v>1323.23</v>
      </c>
      <c r="D76" s="70">
        <f t="shared" si="11"/>
        <v>1323.23</v>
      </c>
      <c r="E76" s="72">
        <f t="shared" si="12"/>
        <v>0</v>
      </c>
      <c r="F76" s="72">
        <f>'H.A Duração'!Y15</f>
        <v>499.98816000000022</v>
      </c>
      <c r="G76" s="70">
        <f t="shared" si="13"/>
        <v>145.85745280000003</v>
      </c>
      <c r="H76" s="76">
        <v>44634</v>
      </c>
      <c r="I76" s="74">
        <f t="shared" si="17"/>
        <v>44627</v>
      </c>
      <c r="J76" s="324">
        <f t="shared" si="14"/>
        <v>7</v>
      </c>
      <c r="K76" s="391">
        <v>3.7900000000000003E-2</v>
      </c>
      <c r="L76" s="76">
        <v>44601</v>
      </c>
      <c r="M76" s="76"/>
      <c r="N76" s="72">
        <f t="shared" si="15"/>
        <v>18.949551264000011</v>
      </c>
    </row>
    <row r="77" spans="1:14" ht="16.5" customHeight="1" x14ac:dyDescent="0.25">
      <c r="A77" s="313"/>
      <c r="B77" s="73" t="s">
        <v>78</v>
      </c>
      <c r="C77" s="72">
        <v>523.38</v>
      </c>
      <c r="D77" s="70">
        <f t="shared" si="11"/>
        <v>523.38</v>
      </c>
      <c r="E77" s="72">
        <f t="shared" si="12"/>
        <v>0</v>
      </c>
      <c r="F77" s="72">
        <v>0</v>
      </c>
      <c r="G77" s="70">
        <f t="shared" si="13"/>
        <v>41.870400000000004</v>
      </c>
      <c r="H77" s="76">
        <v>44634</v>
      </c>
      <c r="I77" s="74">
        <f t="shared" si="17"/>
        <v>44627</v>
      </c>
      <c r="J77" s="324">
        <f t="shared" si="14"/>
        <v>7</v>
      </c>
      <c r="K77" s="391">
        <v>3.7900000000000003E-2</v>
      </c>
      <c r="L77" s="76">
        <v>44602</v>
      </c>
      <c r="M77" s="76"/>
      <c r="N77" s="72">
        <f t="shared" si="15"/>
        <v>0</v>
      </c>
    </row>
    <row r="78" spans="1:14" ht="16.5" customHeight="1" x14ac:dyDescent="0.25">
      <c r="A78" s="313"/>
      <c r="B78" s="73" t="s">
        <v>12</v>
      </c>
      <c r="C78" s="72">
        <v>11.97</v>
      </c>
      <c r="D78" s="70">
        <v>0</v>
      </c>
      <c r="E78" s="72">
        <v>11.97</v>
      </c>
      <c r="F78" s="72">
        <v>0</v>
      </c>
      <c r="G78" s="70">
        <f t="shared" si="13"/>
        <v>0.95760000000000012</v>
      </c>
      <c r="H78" s="76"/>
      <c r="I78" s="74">
        <f t="shared" si="17"/>
        <v>44627</v>
      </c>
      <c r="J78" s="324">
        <v>0</v>
      </c>
      <c r="K78" s="391">
        <v>3.7900000000000003E-2</v>
      </c>
      <c r="L78" s="76">
        <v>44603</v>
      </c>
      <c r="M78" s="76"/>
      <c r="N78" s="72">
        <f t="shared" si="15"/>
        <v>0.45366300000000004</v>
      </c>
    </row>
    <row r="79" spans="1:14" ht="16.5" customHeight="1" x14ac:dyDescent="0.25">
      <c r="A79" s="313"/>
      <c r="B79" s="73" t="s">
        <v>79</v>
      </c>
      <c r="C79" s="72">
        <v>956.24</v>
      </c>
      <c r="D79" s="70">
        <f t="shared" si="11"/>
        <v>956.24</v>
      </c>
      <c r="E79" s="72">
        <f t="shared" si="12"/>
        <v>0</v>
      </c>
      <c r="F79" s="72">
        <v>0</v>
      </c>
      <c r="G79" s="70">
        <f t="shared" si="13"/>
        <v>76.499200000000002</v>
      </c>
      <c r="H79" s="311">
        <v>44634</v>
      </c>
      <c r="I79" s="74">
        <f t="shared" si="17"/>
        <v>44627</v>
      </c>
      <c r="J79" s="324">
        <f t="shared" si="14"/>
        <v>7</v>
      </c>
      <c r="K79" s="391">
        <v>3.7900000000000003E-2</v>
      </c>
      <c r="L79" s="76">
        <v>44604</v>
      </c>
      <c r="M79" s="76"/>
      <c r="N79" s="72">
        <f t="shared" si="15"/>
        <v>0</v>
      </c>
    </row>
    <row r="80" spans="1:14" ht="16.5" customHeight="1" x14ac:dyDescent="0.25">
      <c r="A80" s="313"/>
      <c r="B80" s="73" t="s">
        <v>111</v>
      </c>
      <c r="C80" s="72">
        <v>1011.25</v>
      </c>
      <c r="D80" s="70">
        <f t="shared" si="11"/>
        <v>1011.25</v>
      </c>
      <c r="E80" s="72">
        <f t="shared" si="12"/>
        <v>0</v>
      </c>
      <c r="F80" s="72">
        <v>0</v>
      </c>
      <c r="G80" s="70">
        <f t="shared" si="13"/>
        <v>80.900000000000006</v>
      </c>
      <c r="H80" s="311">
        <v>44634</v>
      </c>
      <c r="I80" s="74">
        <f t="shared" si="17"/>
        <v>44627</v>
      </c>
      <c r="J80" s="324">
        <f t="shared" si="14"/>
        <v>7</v>
      </c>
      <c r="K80" s="391">
        <v>3.7900000000000003E-2</v>
      </c>
      <c r="L80" s="76">
        <v>44605</v>
      </c>
      <c r="M80" s="76"/>
      <c r="N80" s="72">
        <f t="shared" si="15"/>
        <v>0</v>
      </c>
    </row>
    <row r="81" spans="1:14" ht="16.5" customHeight="1" x14ac:dyDescent="0.25">
      <c r="A81" s="313"/>
      <c r="B81" s="73" t="s">
        <v>80</v>
      </c>
      <c r="C81" s="72">
        <v>1710.92</v>
      </c>
      <c r="D81" s="70">
        <f t="shared" si="11"/>
        <v>1710.92</v>
      </c>
      <c r="E81" s="72">
        <f t="shared" si="12"/>
        <v>0</v>
      </c>
      <c r="F81" s="72">
        <v>0</v>
      </c>
      <c r="G81" s="70">
        <f t="shared" si="13"/>
        <v>136.87360000000001</v>
      </c>
      <c r="H81" s="76">
        <v>44634</v>
      </c>
      <c r="I81" s="74">
        <f t="shared" si="17"/>
        <v>44627</v>
      </c>
      <c r="J81" s="324">
        <f t="shared" si="14"/>
        <v>7</v>
      </c>
      <c r="K81" s="391">
        <v>3.7900000000000003E-2</v>
      </c>
      <c r="L81" s="76">
        <v>44606</v>
      </c>
      <c r="M81" s="76"/>
      <c r="N81" s="72">
        <f t="shared" si="15"/>
        <v>0</v>
      </c>
    </row>
    <row r="82" spans="1:14" ht="16.5" customHeight="1" x14ac:dyDescent="0.25">
      <c r="A82" s="313"/>
      <c r="B82" s="73" t="s">
        <v>81</v>
      </c>
      <c r="C82" s="72">
        <v>1607.74</v>
      </c>
      <c r="D82" s="70">
        <v>1000</v>
      </c>
      <c r="E82" s="72">
        <v>0</v>
      </c>
      <c r="F82" s="72">
        <v>0</v>
      </c>
      <c r="G82" s="70">
        <f t="shared" si="13"/>
        <v>128.61920000000001</v>
      </c>
      <c r="H82" s="311">
        <v>44630</v>
      </c>
      <c r="I82" s="74">
        <f t="shared" si="17"/>
        <v>44627</v>
      </c>
      <c r="J82" s="324">
        <f t="shared" si="14"/>
        <v>3</v>
      </c>
      <c r="K82" s="391">
        <v>3.7900000000000003E-2</v>
      </c>
      <c r="L82" s="76">
        <v>44607</v>
      </c>
      <c r="M82" s="76"/>
      <c r="N82" s="72">
        <f t="shared" si="15"/>
        <v>0</v>
      </c>
    </row>
    <row r="83" spans="1:14" ht="16.5" customHeight="1" x14ac:dyDescent="0.25">
      <c r="A83" s="313"/>
      <c r="B83" s="73" t="s">
        <v>81</v>
      </c>
      <c r="C83" s="72"/>
      <c r="D83" s="70">
        <v>607.74</v>
      </c>
      <c r="E83" s="72">
        <v>0</v>
      </c>
      <c r="F83" s="72">
        <v>0</v>
      </c>
      <c r="G83" s="70">
        <f t="shared" si="13"/>
        <v>0</v>
      </c>
      <c r="H83" s="311">
        <v>44634</v>
      </c>
      <c r="I83" s="74">
        <f t="shared" si="17"/>
        <v>44627</v>
      </c>
      <c r="J83" s="324">
        <f t="shared" si="14"/>
        <v>7</v>
      </c>
      <c r="K83" s="391">
        <v>3.7900000000000003E-2</v>
      </c>
      <c r="L83" s="76">
        <v>44608</v>
      </c>
      <c r="M83" s="76"/>
      <c r="N83" s="72">
        <f t="shared" si="15"/>
        <v>0</v>
      </c>
    </row>
    <row r="84" spans="1:14" ht="16.5" customHeight="1" x14ac:dyDescent="0.25">
      <c r="A84" s="313"/>
      <c r="B84" s="73" t="s">
        <v>112</v>
      </c>
      <c r="C84" s="72">
        <v>10.66</v>
      </c>
      <c r="D84" s="70">
        <f t="shared" si="11"/>
        <v>10.66</v>
      </c>
      <c r="E84" s="72">
        <f t="shared" si="12"/>
        <v>0</v>
      </c>
      <c r="F84" s="72">
        <v>0</v>
      </c>
      <c r="G84" s="70">
        <f t="shared" si="13"/>
        <v>0.8528</v>
      </c>
      <c r="H84" s="311">
        <v>44634</v>
      </c>
      <c r="I84" s="74">
        <f t="shared" si="17"/>
        <v>44627</v>
      </c>
      <c r="J84" s="324">
        <f t="shared" si="14"/>
        <v>7</v>
      </c>
      <c r="K84" s="391">
        <v>3.7900000000000003E-2</v>
      </c>
      <c r="L84" s="76">
        <v>44609</v>
      </c>
      <c r="M84" s="76"/>
      <c r="N84" s="72">
        <f t="shared" si="15"/>
        <v>0</v>
      </c>
    </row>
    <row r="85" spans="1:14" ht="16.5" customHeight="1" x14ac:dyDescent="0.25">
      <c r="A85" s="313"/>
      <c r="B85" s="73" t="s">
        <v>85</v>
      </c>
      <c r="C85" s="72">
        <v>12.31</v>
      </c>
      <c r="D85" s="70">
        <f t="shared" si="11"/>
        <v>12.31</v>
      </c>
      <c r="E85" s="72">
        <f t="shared" si="12"/>
        <v>0</v>
      </c>
      <c r="F85" s="72">
        <v>0</v>
      </c>
      <c r="G85" s="70">
        <f t="shared" si="13"/>
        <v>0.98480000000000001</v>
      </c>
      <c r="H85" s="311">
        <v>44634</v>
      </c>
      <c r="I85" s="74">
        <f t="shared" si="17"/>
        <v>44627</v>
      </c>
      <c r="J85" s="324">
        <f t="shared" si="14"/>
        <v>7</v>
      </c>
      <c r="K85" s="391">
        <v>3.7900000000000003E-2</v>
      </c>
      <c r="L85" s="76">
        <v>44610</v>
      </c>
      <c r="M85" s="76"/>
      <c r="N85" s="72">
        <f t="shared" si="15"/>
        <v>0</v>
      </c>
    </row>
    <row r="86" spans="1:14" ht="16.5" customHeight="1" x14ac:dyDescent="0.25">
      <c r="A86" s="313"/>
      <c r="B86" s="73" t="s">
        <v>87</v>
      </c>
      <c r="C86" s="72">
        <v>2.54</v>
      </c>
      <c r="D86" s="70">
        <f t="shared" si="11"/>
        <v>2.54</v>
      </c>
      <c r="E86" s="72">
        <f t="shared" si="12"/>
        <v>0</v>
      </c>
      <c r="F86" s="72">
        <v>0</v>
      </c>
      <c r="G86" s="70">
        <f t="shared" si="13"/>
        <v>0.20320000000000002</v>
      </c>
      <c r="H86" s="311">
        <v>44634</v>
      </c>
      <c r="I86" s="74">
        <f t="shared" si="17"/>
        <v>44627</v>
      </c>
      <c r="J86" s="324">
        <f t="shared" si="14"/>
        <v>7</v>
      </c>
      <c r="K86" s="391">
        <v>3.7900000000000003E-2</v>
      </c>
      <c r="L86" s="76">
        <v>44611</v>
      </c>
      <c r="M86" s="76"/>
      <c r="N86" s="72">
        <f t="shared" si="15"/>
        <v>0</v>
      </c>
    </row>
    <row r="87" spans="1:14" ht="16.5" customHeight="1" x14ac:dyDescent="0.25">
      <c r="A87" s="313"/>
      <c r="B87" s="73" t="s">
        <v>88</v>
      </c>
      <c r="C87" s="72">
        <v>112.94</v>
      </c>
      <c r="D87" s="70">
        <f t="shared" si="11"/>
        <v>112.94</v>
      </c>
      <c r="E87" s="72">
        <f t="shared" si="12"/>
        <v>0</v>
      </c>
      <c r="F87" s="72">
        <v>0</v>
      </c>
      <c r="G87" s="70">
        <f t="shared" si="13"/>
        <v>9.0351999999999997</v>
      </c>
      <c r="H87" s="311">
        <v>44624</v>
      </c>
      <c r="I87" s="74">
        <f t="shared" si="17"/>
        <v>44627</v>
      </c>
      <c r="J87" s="324">
        <v>0</v>
      </c>
      <c r="K87" s="391">
        <v>3.7900000000000003E-2</v>
      </c>
      <c r="L87" s="76">
        <v>44612</v>
      </c>
      <c r="M87" s="76"/>
      <c r="N87" s="72">
        <f t="shared" si="15"/>
        <v>0</v>
      </c>
    </row>
    <row r="88" spans="1:14" ht="16.5" customHeight="1" x14ac:dyDescent="0.25">
      <c r="A88" s="313"/>
      <c r="B88" s="73" t="s">
        <v>89</v>
      </c>
      <c r="C88" s="72">
        <v>63.33</v>
      </c>
      <c r="D88" s="70">
        <f t="shared" si="11"/>
        <v>63.33</v>
      </c>
      <c r="E88" s="72">
        <f t="shared" si="12"/>
        <v>0</v>
      </c>
      <c r="F88" s="72">
        <v>0</v>
      </c>
      <c r="G88" s="70">
        <f t="shared" si="13"/>
        <v>5.0663999999999998</v>
      </c>
      <c r="H88" s="311">
        <v>44634</v>
      </c>
      <c r="I88" s="74">
        <f t="shared" si="17"/>
        <v>44627</v>
      </c>
      <c r="J88" s="324">
        <f t="shared" si="14"/>
        <v>7</v>
      </c>
      <c r="K88" s="391">
        <v>3.7900000000000003E-2</v>
      </c>
      <c r="L88" s="76">
        <v>44613</v>
      </c>
      <c r="M88" s="76"/>
      <c r="N88" s="72">
        <f t="shared" si="15"/>
        <v>0</v>
      </c>
    </row>
    <row r="89" spans="1:14" ht="16.5" customHeight="1" x14ac:dyDescent="0.25">
      <c r="A89" s="313"/>
      <c r="B89" s="73" t="s">
        <v>113</v>
      </c>
      <c r="C89" s="72">
        <v>715.86</v>
      </c>
      <c r="D89" s="70">
        <f t="shared" si="11"/>
        <v>715.86</v>
      </c>
      <c r="E89" s="72">
        <f t="shared" ref="E89:E100" si="18">C89-D89</f>
        <v>0</v>
      </c>
      <c r="F89" s="72">
        <v>0</v>
      </c>
      <c r="G89" s="70">
        <f t="shared" si="13"/>
        <v>57.268799999999999</v>
      </c>
      <c r="H89" s="311">
        <v>44634</v>
      </c>
      <c r="I89" s="74">
        <f t="shared" si="17"/>
        <v>44627</v>
      </c>
      <c r="J89" s="324">
        <f t="shared" si="14"/>
        <v>7</v>
      </c>
      <c r="K89" s="391">
        <v>3.7900000000000003E-2</v>
      </c>
      <c r="L89" s="76">
        <v>44614</v>
      </c>
      <c r="M89" s="76"/>
      <c r="N89" s="72">
        <f t="shared" si="15"/>
        <v>0</v>
      </c>
    </row>
    <row r="90" spans="1:14" ht="16.5" customHeight="1" x14ac:dyDescent="0.25">
      <c r="A90" s="313"/>
      <c r="B90" s="73" t="s">
        <v>90</v>
      </c>
      <c r="C90" s="72">
        <v>13.19</v>
      </c>
      <c r="D90" s="70">
        <f t="shared" si="11"/>
        <v>13.19</v>
      </c>
      <c r="E90" s="72">
        <f t="shared" si="18"/>
        <v>0</v>
      </c>
      <c r="F90" s="72">
        <v>0</v>
      </c>
      <c r="G90" s="70">
        <f t="shared" si="13"/>
        <v>1.0551999999999999</v>
      </c>
      <c r="H90" s="311">
        <v>44634</v>
      </c>
      <c r="I90" s="74">
        <f t="shared" si="17"/>
        <v>44627</v>
      </c>
      <c r="J90" s="324">
        <f t="shared" si="14"/>
        <v>7</v>
      </c>
      <c r="K90" s="391">
        <v>3.7900000000000003E-2</v>
      </c>
      <c r="L90" s="76">
        <v>44615</v>
      </c>
      <c r="M90" s="76"/>
      <c r="N90" s="72">
        <f t="shared" si="15"/>
        <v>0</v>
      </c>
    </row>
    <row r="91" spans="1:14" ht="16.5" customHeight="1" x14ac:dyDescent="0.25">
      <c r="A91" s="313"/>
      <c r="B91" s="73" t="s">
        <v>93</v>
      </c>
      <c r="C91" s="72">
        <v>56.47</v>
      </c>
      <c r="D91" s="70">
        <f t="shared" si="11"/>
        <v>56.47</v>
      </c>
      <c r="E91" s="72">
        <f t="shared" si="18"/>
        <v>0</v>
      </c>
      <c r="F91" s="72">
        <v>0</v>
      </c>
      <c r="G91" s="70">
        <f t="shared" si="13"/>
        <v>4.5175999999999998</v>
      </c>
      <c r="H91" s="311">
        <v>44634</v>
      </c>
      <c r="I91" s="74">
        <f t="shared" si="17"/>
        <v>44627</v>
      </c>
      <c r="J91" s="324">
        <f t="shared" si="14"/>
        <v>7</v>
      </c>
      <c r="K91" s="391">
        <v>3.7900000000000003E-2</v>
      </c>
      <c r="L91" s="76">
        <v>44616</v>
      </c>
      <c r="M91" s="76"/>
      <c r="N91" s="72">
        <f t="shared" si="15"/>
        <v>0</v>
      </c>
    </row>
    <row r="92" spans="1:14" ht="16.5" customHeight="1" x14ac:dyDescent="0.25">
      <c r="A92" s="313"/>
      <c r="B92" s="73" t="s">
        <v>94</v>
      </c>
      <c r="C92" s="72">
        <v>1563.56</v>
      </c>
      <c r="D92" s="70">
        <f t="shared" si="11"/>
        <v>1563.56</v>
      </c>
      <c r="E92" s="72">
        <f t="shared" si="18"/>
        <v>0</v>
      </c>
      <c r="F92" s="72">
        <f>'H.A Duração'!Y19</f>
        <v>619.09344000000021</v>
      </c>
      <c r="G92" s="70">
        <f t="shared" si="13"/>
        <v>174.6122752</v>
      </c>
      <c r="H92" s="76">
        <v>44634</v>
      </c>
      <c r="I92" s="74">
        <f t="shared" si="17"/>
        <v>44627</v>
      </c>
      <c r="J92" s="324">
        <f t="shared" si="14"/>
        <v>7</v>
      </c>
      <c r="K92" s="391">
        <v>3.7900000000000003E-2</v>
      </c>
      <c r="L92" s="76">
        <v>44617</v>
      </c>
      <c r="M92" s="76"/>
      <c r="N92" s="72">
        <f t="shared" si="15"/>
        <v>23.463641376000009</v>
      </c>
    </row>
    <row r="93" spans="1:14" ht="16.5" customHeight="1" x14ac:dyDescent="0.25">
      <c r="A93" s="313"/>
      <c r="B93" s="73" t="s">
        <v>95</v>
      </c>
      <c r="C93" s="72">
        <v>888</v>
      </c>
      <c r="D93" s="70">
        <f t="shared" si="11"/>
        <v>888</v>
      </c>
      <c r="E93" s="72">
        <f t="shared" si="18"/>
        <v>0</v>
      </c>
      <c r="F93" s="72">
        <f>'H.A Duração'!Y20</f>
        <v>261.10492800000003</v>
      </c>
      <c r="G93" s="70">
        <f t="shared" si="13"/>
        <v>91.928394240000003</v>
      </c>
      <c r="H93" s="76">
        <v>44634</v>
      </c>
      <c r="I93" s="74">
        <f t="shared" si="17"/>
        <v>44627</v>
      </c>
      <c r="J93" s="324">
        <f t="shared" si="14"/>
        <v>7</v>
      </c>
      <c r="K93" s="391">
        <v>3.7900000000000003E-2</v>
      </c>
      <c r="L93" s="76">
        <v>44618</v>
      </c>
      <c r="M93" s="76"/>
      <c r="N93" s="72">
        <f t="shared" si="15"/>
        <v>9.8958767712000011</v>
      </c>
    </row>
    <row r="94" spans="1:14" ht="16.5" customHeight="1" x14ac:dyDescent="0.25">
      <c r="A94" s="313"/>
      <c r="B94" s="73" t="s">
        <v>223</v>
      </c>
      <c r="C94" s="72">
        <v>2.85</v>
      </c>
      <c r="D94" s="70">
        <f t="shared" si="11"/>
        <v>2.85</v>
      </c>
      <c r="E94" s="72">
        <f t="shared" si="18"/>
        <v>0</v>
      </c>
      <c r="F94" s="72">
        <v>0</v>
      </c>
      <c r="G94" s="70">
        <f t="shared" si="13"/>
        <v>0.22800000000000001</v>
      </c>
      <c r="H94" s="311">
        <v>44634</v>
      </c>
      <c r="I94" s="74">
        <f t="shared" si="17"/>
        <v>44627</v>
      </c>
      <c r="J94" s="324">
        <f t="shared" si="14"/>
        <v>7</v>
      </c>
      <c r="K94" s="391">
        <v>3.7900000000000003E-2</v>
      </c>
      <c r="L94" s="76">
        <v>44619</v>
      </c>
      <c r="M94" s="76"/>
      <c r="N94" s="72">
        <f t="shared" si="15"/>
        <v>0</v>
      </c>
    </row>
    <row r="95" spans="1:14" ht="16.5" customHeight="1" x14ac:dyDescent="0.25">
      <c r="A95" s="313"/>
      <c r="B95" s="73" t="s">
        <v>15</v>
      </c>
      <c r="C95" s="72">
        <v>11.36</v>
      </c>
      <c r="D95" s="70">
        <f t="shared" ref="D95:D100" si="19">C95</f>
        <v>11.36</v>
      </c>
      <c r="E95" s="72">
        <f t="shared" si="18"/>
        <v>0</v>
      </c>
      <c r="F95" s="72">
        <v>0</v>
      </c>
      <c r="G95" s="70">
        <f t="shared" si="13"/>
        <v>0.90879999999999994</v>
      </c>
      <c r="H95" s="311">
        <v>44634</v>
      </c>
      <c r="I95" s="74">
        <f t="shared" si="17"/>
        <v>44627</v>
      </c>
      <c r="J95" s="324">
        <f t="shared" ref="J95:J100" si="20">H95-I95</f>
        <v>7</v>
      </c>
      <c r="K95" s="391">
        <v>3.7900000000000003E-2</v>
      </c>
      <c r="L95" s="76">
        <v>44620</v>
      </c>
      <c r="M95" s="76"/>
      <c r="N95" s="72">
        <f t="shared" si="15"/>
        <v>0</v>
      </c>
    </row>
    <row r="96" spans="1:14" ht="16.5" customHeight="1" x14ac:dyDescent="0.25">
      <c r="A96" s="313"/>
      <c r="B96" s="73" t="s">
        <v>136</v>
      </c>
      <c r="C96" s="72">
        <v>289.07</v>
      </c>
      <c r="D96" s="70">
        <f t="shared" si="19"/>
        <v>289.07</v>
      </c>
      <c r="E96" s="72">
        <f t="shared" si="18"/>
        <v>0</v>
      </c>
      <c r="F96" s="72">
        <v>0</v>
      </c>
      <c r="G96" s="70">
        <f t="shared" ref="G96:G100" si="21">(C96+F96)*8%</f>
        <v>23.125599999999999</v>
      </c>
      <c r="H96" s="311">
        <v>44634</v>
      </c>
      <c r="I96" s="74">
        <f t="shared" si="17"/>
        <v>44627</v>
      </c>
      <c r="J96" s="324">
        <f t="shared" si="20"/>
        <v>7</v>
      </c>
      <c r="K96" s="391">
        <v>3.7900000000000003E-2</v>
      </c>
      <c r="L96" s="76">
        <v>44622</v>
      </c>
      <c r="M96" s="76"/>
      <c r="N96" s="72">
        <f t="shared" ref="N96:N100" si="22">(E96+F96)*K96</f>
        <v>0</v>
      </c>
    </row>
    <row r="97" spans="1:17" ht="16.5" customHeight="1" x14ac:dyDescent="0.25">
      <c r="A97" s="313"/>
      <c r="B97" s="73" t="s">
        <v>98</v>
      </c>
      <c r="C97" s="72">
        <v>3686.86</v>
      </c>
      <c r="D97" s="70">
        <f t="shared" si="19"/>
        <v>3686.86</v>
      </c>
      <c r="E97" s="72">
        <f t="shared" si="18"/>
        <v>0</v>
      </c>
      <c r="F97" s="72">
        <v>0</v>
      </c>
      <c r="G97" s="70">
        <f t="shared" si="21"/>
        <v>294.94880000000001</v>
      </c>
      <c r="H97" s="76">
        <v>44657</v>
      </c>
      <c r="I97" s="74">
        <f t="shared" si="17"/>
        <v>44627</v>
      </c>
      <c r="J97" s="324">
        <f t="shared" si="20"/>
        <v>30</v>
      </c>
      <c r="K97" s="391">
        <v>3.7900000000000003E-2</v>
      </c>
      <c r="L97" s="76">
        <v>44623</v>
      </c>
      <c r="M97" s="76"/>
      <c r="N97" s="72">
        <f t="shared" si="22"/>
        <v>0</v>
      </c>
    </row>
    <row r="98" spans="1:17" ht="16.5" customHeight="1" x14ac:dyDescent="0.25">
      <c r="A98" s="313"/>
      <c r="B98" s="73" t="s">
        <v>99</v>
      </c>
      <c r="C98" s="72">
        <v>1606.87</v>
      </c>
      <c r="D98" s="70">
        <f t="shared" si="19"/>
        <v>1606.87</v>
      </c>
      <c r="E98" s="72">
        <f t="shared" si="18"/>
        <v>0</v>
      </c>
      <c r="F98" s="72">
        <v>0</v>
      </c>
      <c r="G98" s="70">
        <f t="shared" si="21"/>
        <v>128.5496</v>
      </c>
      <c r="H98" s="76">
        <v>44634</v>
      </c>
      <c r="I98" s="74">
        <f t="shared" si="17"/>
        <v>44627</v>
      </c>
      <c r="J98" s="324">
        <f t="shared" si="20"/>
        <v>7</v>
      </c>
      <c r="K98" s="391">
        <v>3.7900000000000003E-2</v>
      </c>
      <c r="L98" s="76">
        <v>44624</v>
      </c>
      <c r="M98" s="76"/>
      <c r="N98" s="72">
        <f t="shared" si="22"/>
        <v>0</v>
      </c>
    </row>
    <row r="99" spans="1:17" ht="16.5" customHeight="1" x14ac:dyDescent="0.25">
      <c r="A99" s="313"/>
      <c r="B99" s="73" t="s">
        <v>100</v>
      </c>
      <c r="C99" s="72">
        <v>486.27</v>
      </c>
      <c r="D99" s="70">
        <f t="shared" si="19"/>
        <v>486.27</v>
      </c>
      <c r="E99" s="72">
        <f t="shared" si="18"/>
        <v>0</v>
      </c>
      <c r="F99" s="72">
        <v>0</v>
      </c>
      <c r="G99" s="70">
        <f t="shared" si="21"/>
        <v>38.901600000000002</v>
      </c>
      <c r="H99" s="76">
        <v>44634</v>
      </c>
      <c r="I99" s="74">
        <f t="shared" si="17"/>
        <v>44627</v>
      </c>
      <c r="J99" s="324">
        <f t="shared" si="20"/>
        <v>7</v>
      </c>
      <c r="K99" s="391">
        <v>3.7900000000000003E-2</v>
      </c>
      <c r="L99" s="76">
        <v>44625</v>
      </c>
      <c r="M99" s="76"/>
      <c r="N99" s="72">
        <f t="shared" si="22"/>
        <v>0</v>
      </c>
    </row>
    <row r="100" spans="1:17" ht="16.5" customHeight="1" x14ac:dyDescent="0.25">
      <c r="A100" s="313"/>
      <c r="B100" s="73" t="s">
        <v>101</v>
      </c>
      <c r="C100" s="72">
        <v>5.18</v>
      </c>
      <c r="D100" s="70">
        <f t="shared" si="19"/>
        <v>5.18</v>
      </c>
      <c r="E100" s="72">
        <f t="shared" si="18"/>
        <v>0</v>
      </c>
      <c r="F100" s="72">
        <v>0</v>
      </c>
      <c r="G100" s="70">
        <f t="shared" si="21"/>
        <v>0.41439999999999999</v>
      </c>
      <c r="H100" s="311">
        <v>44634</v>
      </c>
      <c r="I100" s="74">
        <f t="shared" si="17"/>
        <v>44627</v>
      </c>
      <c r="J100" s="324">
        <f t="shared" si="20"/>
        <v>7</v>
      </c>
      <c r="K100" s="391">
        <v>3.7900000000000003E-2</v>
      </c>
      <c r="L100" s="76">
        <v>44626</v>
      </c>
      <c r="M100" s="76"/>
      <c r="N100" s="72">
        <f t="shared" si="22"/>
        <v>0</v>
      </c>
    </row>
    <row r="101" spans="1:17" s="65" customFormat="1" ht="17.25" customHeight="1" x14ac:dyDescent="0.25">
      <c r="A101" s="190"/>
      <c r="B101" s="181" t="s">
        <v>162</v>
      </c>
      <c r="C101" s="181">
        <f>SUM(C31:C100)</f>
        <v>41284.280000000013</v>
      </c>
      <c r="D101" s="181">
        <f>SUM(D31:D100)</f>
        <v>41207.590000000011</v>
      </c>
      <c r="E101" s="317">
        <f>SUM(E31:E100)</f>
        <v>76.69</v>
      </c>
      <c r="F101" s="317">
        <f>SUM(F31:F100)</f>
        <v>4227.2109226666662</v>
      </c>
      <c r="G101" s="181">
        <f>SUM(G31:G100)</f>
        <v>3640.9192738133338</v>
      </c>
      <c r="H101" s="182"/>
      <c r="I101" s="182"/>
      <c r="J101" s="182"/>
      <c r="K101" s="249"/>
      <c r="L101" s="410">
        <v>44627</v>
      </c>
      <c r="M101" s="410"/>
      <c r="N101" s="317">
        <f>SUM(N31:N100)</f>
        <v>163.11784496906668</v>
      </c>
    </row>
    <row r="102" spans="1:17" ht="15.75" x14ac:dyDescent="0.25">
      <c r="A102" s="186"/>
      <c r="B102" s="187" t="s">
        <v>103</v>
      </c>
      <c r="C102" s="188">
        <f>SUM(C101+C30+C15)</f>
        <v>96094.35</v>
      </c>
      <c r="D102" s="188">
        <f>D101+D30+D15</f>
        <v>67603.040000000008</v>
      </c>
      <c r="E102" s="188">
        <f>E101+E30+E15</f>
        <v>28491.31</v>
      </c>
      <c r="F102" s="188">
        <f>SUM(F101+F30+F15)</f>
        <v>9844.1100379999989</v>
      </c>
      <c r="G102" s="188">
        <f>G101+G30+G15</f>
        <v>8475.0768030399995</v>
      </c>
      <c r="H102" s="189"/>
      <c r="I102" s="189"/>
      <c r="J102" s="189"/>
      <c r="K102" s="246">
        <f>K101+K30+K15</f>
        <v>0</v>
      </c>
      <c r="L102" s="189"/>
      <c r="M102" s="189"/>
      <c r="N102" s="189">
        <f>N101+N30+N15</f>
        <v>1452.9124194402002</v>
      </c>
    </row>
    <row r="104" spans="1:17" x14ac:dyDescent="0.25">
      <c r="B104" s="166"/>
      <c r="C104" s="220"/>
      <c r="D104" s="166"/>
      <c r="E104" s="166"/>
      <c r="F104" s="166"/>
      <c r="G104" s="166"/>
      <c r="H104" s="67"/>
      <c r="I104" s="67"/>
      <c r="J104" s="67"/>
      <c r="K104" s="67"/>
      <c r="L104" s="67"/>
      <c r="M104" s="67"/>
      <c r="N104" s="67"/>
    </row>
    <row r="105" spans="1:17" x14ac:dyDescent="0.25">
      <c r="B105" s="166"/>
      <c r="C105" s="97"/>
      <c r="D105" s="97"/>
      <c r="E105" s="166"/>
      <c r="F105" s="166"/>
      <c r="G105" s="166"/>
    </row>
    <row r="106" spans="1:17" x14ac:dyDescent="0.25">
      <c r="B106" s="166"/>
      <c r="C106" s="97"/>
      <c r="D106" s="97"/>
      <c r="E106" s="166"/>
      <c r="F106" s="166"/>
      <c r="G106" s="166"/>
    </row>
    <row r="107" spans="1:17" x14ac:dyDescent="0.25">
      <c r="B107" s="166"/>
      <c r="C107" s="97"/>
      <c r="D107" s="97"/>
      <c r="E107" s="166"/>
      <c r="F107" s="166"/>
      <c r="G107" s="166"/>
    </row>
    <row r="108" spans="1:17" s="69" customFormat="1" x14ac:dyDescent="0.25">
      <c r="A108" s="60"/>
      <c r="B108" s="60"/>
      <c r="C108" s="97"/>
      <c r="D108" s="97"/>
      <c r="H108" s="60"/>
      <c r="I108" s="60"/>
      <c r="J108" s="60"/>
      <c r="K108" s="60"/>
      <c r="L108" s="60"/>
      <c r="M108" s="60"/>
      <c r="N108" s="60"/>
      <c r="O108" s="60"/>
      <c r="P108" s="60"/>
      <c r="Q108" s="60"/>
    </row>
    <row r="109" spans="1:17" s="69" customFormat="1" x14ac:dyDescent="0.25">
      <c r="A109" s="60"/>
      <c r="B109" s="60"/>
      <c r="C109" s="97"/>
      <c r="D109" s="97"/>
      <c r="H109" s="60"/>
      <c r="I109" s="60"/>
      <c r="J109" s="60"/>
      <c r="K109" s="60"/>
      <c r="L109" s="60"/>
      <c r="M109" s="60"/>
      <c r="N109" s="60"/>
      <c r="O109" s="60"/>
      <c r="P109" s="60"/>
      <c r="Q109" s="60"/>
    </row>
  </sheetData>
  <autoFilter ref="A4:N100" xr:uid="{00000000-0009-0000-0000-000000000000}"/>
  <pageMargins left="0.51181102362204722" right="0.51181102362204722" top="0.47244094488188981" bottom="0.47244094488188981" header="0.31496062992125984" footer="0.31496062992125984"/>
  <pageSetup paperSize="9" scale="76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436D3-6AB8-48F9-8DC2-675A92E3B042}">
  <sheetPr>
    <tabColor rgb="FF00B050"/>
    <pageSetUpPr fitToPage="1"/>
  </sheetPr>
  <dimension ref="A1:R102"/>
  <sheetViews>
    <sheetView showGridLines="0" workbookViewId="0">
      <selection activeCell="P6" sqref="P6"/>
    </sheetView>
  </sheetViews>
  <sheetFormatPr defaultRowHeight="15" x14ac:dyDescent="0.25"/>
  <cols>
    <col min="1" max="1" width="9.85546875" style="60" customWidth="1"/>
    <col min="2" max="2" width="43.28515625" style="60" customWidth="1"/>
    <col min="3" max="3" width="14.140625" style="59" customWidth="1"/>
    <col min="4" max="4" width="14.42578125" style="69" customWidth="1"/>
    <col min="5" max="6" width="16.28515625" style="69" customWidth="1"/>
    <col min="7" max="7" width="13.5703125" style="69" customWidth="1"/>
    <col min="8" max="8" width="12.28515625" style="60" hidden="1" customWidth="1"/>
    <col min="9" max="9" width="12.85546875" style="60" hidden="1" customWidth="1"/>
    <col min="10" max="10" width="14.28515625" style="60" hidden="1" customWidth="1"/>
    <col min="11" max="11" width="12" style="60" hidden="1" customWidth="1"/>
    <col min="12" max="12" width="16.140625" style="60" hidden="1" customWidth="1"/>
    <col min="13" max="27" width="9.140625" style="60" customWidth="1"/>
    <col min="28" max="16384" width="9.140625" style="60"/>
  </cols>
  <sheetData>
    <row r="1" spans="1:12" ht="17.25" customHeight="1" x14ac:dyDescent="0.25">
      <c r="A1" s="221"/>
      <c r="B1" s="303" t="s">
        <v>141</v>
      </c>
      <c r="C1" s="304"/>
      <c r="D1" s="222"/>
      <c r="E1" s="83"/>
      <c r="F1" s="83"/>
      <c r="G1" s="83"/>
      <c r="H1" s="223"/>
      <c r="I1" s="223"/>
      <c r="J1" s="223"/>
      <c r="K1" s="223"/>
      <c r="L1" s="223"/>
    </row>
    <row r="2" spans="1:12" ht="15.75" x14ac:dyDescent="0.25">
      <c r="A2" s="59"/>
      <c r="B2" s="305" t="s">
        <v>244</v>
      </c>
      <c r="C2" s="306"/>
      <c r="D2" s="58"/>
      <c r="E2" s="58"/>
      <c r="F2" s="58"/>
      <c r="G2" s="58"/>
      <c r="H2" s="59"/>
      <c r="I2" s="59"/>
      <c r="J2" s="59"/>
      <c r="K2" s="59"/>
      <c r="L2" s="59"/>
    </row>
    <row r="3" spans="1:12" ht="15.75" x14ac:dyDescent="0.25">
      <c r="A3" s="224"/>
      <c r="B3" s="307" t="s">
        <v>246</v>
      </c>
      <c r="C3" s="255"/>
      <c r="D3" s="88"/>
      <c r="E3" s="88"/>
      <c r="F3" s="88"/>
      <c r="G3" s="88"/>
      <c r="H3" s="224"/>
      <c r="I3" s="224"/>
      <c r="J3" s="224"/>
      <c r="K3" s="224"/>
      <c r="L3" s="224"/>
    </row>
    <row r="4" spans="1:12" s="217" customFormat="1" ht="31.5" customHeight="1" x14ac:dyDescent="0.25">
      <c r="A4" s="62" t="s">
        <v>143</v>
      </c>
      <c r="B4" s="63" t="s">
        <v>144</v>
      </c>
      <c r="C4" s="459" t="s">
        <v>140</v>
      </c>
      <c r="D4" s="218" t="s">
        <v>145</v>
      </c>
      <c r="E4" s="459" t="s">
        <v>314</v>
      </c>
      <c r="F4" s="58" t="s">
        <v>315</v>
      </c>
      <c r="G4" s="459" t="s">
        <v>212</v>
      </c>
      <c r="H4" s="58" t="s">
        <v>147</v>
      </c>
      <c r="I4" s="310" t="s">
        <v>213</v>
      </c>
      <c r="J4" s="310" t="s">
        <v>214</v>
      </c>
      <c r="K4" s="361" t="s">
        <v>252</v>
      </c>
      <c r="L4" s="70" t="s">
        <v>256</v>
      </c>
    </row>
    <row r="5" spans="1:12" s="217" customFormat="1" ht="21.75" customHeight="1" x14ac:dyDescent="0.25">
      <c r="A5" s="62"/>
      <c r="B5" s="63"/>
      <c r="C5" s="82"/>
      <c r="D5" s="218"/>
      <c r="E5" s="82" t="s">
        <v>313</v>
      </c>
      <c r="F5" s="58" t="s">
        <v>312</v>
      </c>
      <c r="G5" s="82"/>
      <c r="H5" s="58"/>
      <c r="I5" s="310"/>
      <c r="J5" s="310"/>
      <c r="K5" s="361"/>
      <c r="L5" s="70"/>
    </row>
    <row r="6" spans="1:12" ht="16.5" customHeight="1" x14ac:dyDescent="0.25">
      <c r="A6" s="176">
        <v>0.65</v>
      </c>
      <c r="B6" s="73" t="s">
        <v>1</v>
      </c>
      <c r="C6" s="72">
        <v>1555.86</v>
      </c>
      <c r="D6" s="70">
        <f>ROUND(C6*A6,2)</f>
        <v>1011.31</v>
      </c>
      <c r="E6" s="72">
        <f>C6-D6</f>
        <v>544.54999999999995</v>
      </c>
      <c r="F6" s="72">
        <f>'H.A Duração'!AA7</f>
        <v>652.22539200000006</v>
      </c>
      <c r="G6" s="72">
        <f>(C6+F6)*8%</f>
        <v>176.64683135999999</v>
      </c>
      <c r="H6" s="76">
        <v>44663</v>
      </c>
      <c r="I6" s="76">
        <v>44657</v>
      </c>
      <c r="J6" s="244">
        <f>H6-I6</f>
        <v>6</v>
      </c>
      <c r="K6" s="391">
        <v>2.86E-2</v>
      </c>
      <c r="L6" s="72">
        <f>(E6+F6)*K6</f>
        <v>34.227776211200002</v>
      </c>
    </row>
    <row r="7" spans="1:12" ht="16.5" customHeight="1" x14ac:dyDescent="0.25">
      <c r="A7" s="176">
        <v>0.65</v>
      </c>
      <c r="B7" s="73" t="s">
        <v>3</v>
      </c>
      <c r="C7" s="72">
        <v>1804.41</v>
      </c>
      <c r="D7" s="70">
        <f t="shared" ref="D7:D13" si="0">ROUND(C7*A7,2)</f>
        <v>1172.8699999999999</v>
      </c>
      <c r="E7" s="72">
        <f t="shared" ref="E7:E13" si="1">C7-D7</f>
        <v>631.54000000000019</v>
      </c>
      <c r="F7" s="72">
        <f>'H.A Duração'!AA8</f>
        <v>480.6630826666667</v>
      </c>
      <c r="G7" s="72">
        <f t="shared" ref="G7:G13" si="2">(C7+F7)*8%</f>
        <v>182.80584661333336</v>
      </c>
      <c r="H7" s="76">
        <v>44663</v>
      </c>
      <c r="I7" s="74">
        <f>I6</f>
        <v>44657</v>
      </c>
      <c r="J7" s="244">
        <f t="shared" ref="J7:J13" si="3">H7-I7</f>
        <v>6</v>
      </c>
      <c r="K7" s="391">
        <v>2.86E-2</v>
      </c>
      <c r="L7" s="72">
        <f t="shared" ref="L7:L13" si="4">(E7+F7)*K7</f>
        <v>31.809008164266672</v>
      </c>
    </row>
    <row r="8" spans="1:12" ht="16.5" customHeight="1" x14ac:dyDescent="0.25">
      <c r="A8" s="176">
        <v>0.65</v>
      </c>
      <c r="B8" s="73" t="s">
        <v>5</v>
      </c>
      <c r="C8" s="72">
        <v>4393.87</v>
      </c>
      <c r="D8" s="70">
        <f t="shared" si="0"/>
        <v>2856.02</v>
      </c>
      <c r="E8" s="72">
        <f t="shared" si="1"/>
        <v>1537.85</v>
      </c>
      <c r="F8" s="72">
        <v>0</v>
      </c>
      <c r="G8" s="72">
        <f t="shared" si="2"/>
        <v>351.50959999999998</v>
      </c>
      <c r="H8" s="76">
        <v>44663</v>
      </c>
      <c r="I8" s="74">
        <f>I7</f>
        <v>44657</v>
      </c>
      <c r="J8" s="244">
        <f t="shared" si="3"/>
        <v>6</v>
      </c>
      <c r="K8" s="391">
        <v>2.86E-2</v>
      </c>
      <c r="L8" s="72">
        <f t="shared" si="4"/>
        <v>43.982509999999998</v>
      </c>
    </row>
    <row r="9" spans="1:12" ht="16.5" customHeight="1" x14ac:dyDescent="0.25">
      <c r="A9" s="176">
        <v>0.65</v>
      </c>
      <c r="B9" s="73" t="s">
        <v>8</v>
      </c>
      <c r="C9" s="72">
        <v>4149.66</v>
      </c>
      <c r="D9" s="70">
        <v>0</v>
      </c>
      <c r="E9" s="72">
        <f t="shared" si="1"/>
        <v>4149.66</v>
      </c>
      <c r="F9" s="72">
        <f>'H.A Duração'!AA11</f>
        <v>1565.6362726666662</v>
      </c>
      <c r="G9" s="72">
        <f t="shared" si="2"/>
        <v>457.22370181333332</v>
      </c>
      <c r="H9" s="76"/>
      <c r="I9" s="74">
        <f t="shared" ref="I9:I27" si="5">I8</f>
        <v>44657</v>
      </c>
      <c r="J9" s="244">
        <v>0</v>
      </c>
      <c r="K9" s="391">
        <v>2.86E-2</v>
      </c>
      <c r="L9" s="72">
        <f t="shared" si="4"/>
        <v>163.45747339826667</v>
      </c>
    </row>
    <row r="10" spans="1:12" ht="16.5" customHeight="1" x14ac:dyDescent="0.25">
      <c r="A10" s="176">
        <v>0.65</v>
      </c>
      <c r="B10" s="73" t="s">
        <v>9</v>
      </c>
      <c r="C10" s="72">
        <v>2583.89</v>
      </c>
      <c r="D10" s="70">
        <v>0</v>
      </c>
      <c r="E10" s="72">
        <f t="shared" si="1"/>
        <v>2583.89</v>
      </c>
      <c r="F10" s="72">
        <v>0</v>
      </c>
      <c r="G10" s="72">
        <f t="shared" si="2"/>
        <v>206.71119999999999</v>
      </c>
      <c r="H10" s="76"/>
      <c r="I10" s="74">
        <f t="shared" si="5"/>
        <v>44657</v>
      </c>
      <c r="J10" s="244">
        <v>0</v>
      </c>
      <c r="K10" s="391">
        <v>2.86E-2</v>
      </c>
      <c r="L10" s="72">
        <f t="shared" si="4"/>
        <v>73.899253999999999</v>
      </c>
    </row>
    <row r="11" spans="1:12" ht="16.5" customHeight="1" x14ac:dyDescent="0.25">
      <c r="A11" s="176">
        <v>0.65</v>
      </c>
      <c r="B11" s="73" t="s">
        <v>11</v>
      </c>
      <c r="C11" s="72">
        <v>3244.24</v>
      </c>
      <c r="D11" s="70">
        <v>0</v>
      </c>
      <c r="E11" s="72">
        <f t="shared" si="1"/>
        <v>3244.24</v>
      </c>
      <c r="F11" s="72">
        <v>0</v>
      </c>
      <c r="G11" s="72">
        <f t="shared" si="2"/>
        <v>259.53919999999999</v>
      </c>
      <c r="H11" s="76"/>
      <c r="I11" s="74">
        <f t="shared" si="5"/>
        <v>44657</v>
      </c>
      <c r="J11" s="244">
        <v>0</v>
      </c>
      <c r="K11" s="391">
        <v>2.86E-2</v>
      </c>
      <c r="L11" s="72">
        <f t="shared" si="4"/>
        <v>92.785263999999998</v>
      </c>
    </row>
    <row r="12" spans="1:12" ht="16.5" customHeight="1" x14ac:dyDescent="0.25">
      <c r="A12" s="176">
        <v>0.65</v>
      </c>
      <c r="B12" s="73" t="s">
        <v>13</v>
      </c>
      <c r="C12" s="72">
        <v>1233.8499999999999</v>
      </c>
      <c r="D12" s="70">
        <f t="shared" si="0"/>
        <v>802</v>
      </c>
      <c r="E12" s="72">
        <f t="shared" si="1"/>
        <v>431.84999999999991</v>
      </c>
      <c r="F12" s="72">
        <v>0</v>
      </c>
      <c r="G12" s="72">
        <f t="shared" si="2"/>
        <v>98.707999999999998</v>
      </c>
      <c r="H12" s="76">
        <v>44663</v>
      </c>
      <c r="I12" s="74">
        <f t="shared" si="5"/>
        <v>44657</v>
      </c>
      <c r="J12" s="244">
        <v>0</v>
      </c>
      <c r="K12" s="391">
        <v>2.86E-2</v>
      </c>
      <c r="L12" s="72">
        <f t="shared" si="4"/>
        <v>12.350909999999997</v>
      </c>
    </row>
    <row r="13" spans="1:12" ht="16.5" customHeight="1" x14ac:dyDescent="0.25">
      <c r="A13" s="176">
        <v>0.65</v>
      </c>
      <c r="B13" s="73" t="s">
        <v>104</v>
      </c>
      <c r="C13" s="72">
        <v>1494.25</v>
      </c>
      <c r="D13" s="70">
        <f t="shared" si="0"/>
        <v>971.26</v>
      </c>
      <c r="E13" s="72">
        <f t="shared" si="1"/>
        <v>522.99</v>
      </c>
      <c r="F13" s="72">
        <f>'H.A Duração'!AA16</f>
        <v>680.09827200000007</v>
      </c>
      <c r="G13" s="72">
        <f t="shared" si="2"/>
        <v>173.94786176000002</v>
      </c>
      <c r="H13" s="76">
        <v>44663</v>
      </c>
      <c r="I13" s="74">
        <f t="shared" si="5"/>
        <v>44657</v>
      </c>
      <c r="J13" s="244">
        <f t="shared" si="3"/>
        <v>6</v>
      </c>
      <c r="K13" s="391">
        <v>2.86E-2</v>
      </c>
      <c r="L13" s="72">
        <f t="shared" si="4"/>
        <v>34.408324579199999</v>
      </c>
    </row>
    <row r="14" spans="1:12" ht="16.5" customHeight="1" x14ac:dyDescent="0.25">
      <c r="A14" s="190"/>
      <c r="B14" s="312" t="s">
        <v>156</v>
      </c>
      <c r="C14" s="312">
        <f>SUM(C6:C13)</f>
        <v>20460.03</v>
      </c>
      <c r="D14" s="312">
        <f>SUM(D6:D13)</f>
        <v>6813.46</v>
      </c>
      <c r="E14" s="317">
        <f>SUM(E6:E13)</f>
        <v>13646.57</v>
      </c>
      <c r="F14" s="317">
        <f>SUM(F6:F13)</f>
        <v>3378.6230193333331</v>
      </c>
      <c r="G14" s="181">
        <f>SUM(G6:G13)</f>
        <v>1907.0922415466666</v>
      </c>
      <c r="H14" s="312"/>
      <c r="I14" s="251"/>
      <c r="J14" s="181"/>
      <c r="K14" s="392"/>
      <c r="L14" s="317">
        <f>SUM(L6:L13)</f>
        <v>486.92052035293329</v>
      </c>
    </row>
    <row r="15" spans="1:12" ht="16.5" customHeight="1" x14ac:dyDescent="0.25">
      <c r="A15" s="176">
        <v>0.8</v>
      </c>
      <c r="B15" s="73" t="s">
        <v>19</v>
      </c>
      <c r="C15" s="72">
        <v>2738.07</v>
      </c>
      <c r="D15" s="70">
        <f t="shared" ref="D15:D27" si="6">ROUND(C15*A15,2)</f>
        <v>2190.46</v>
      </c>
      <c r="E15" s="72">
        <f>C15-D15</f>
        <v>547.61000000000013</v>
      </c>
      <c r="F15" s="72">
        <f>'H.A Duração'!AA4</f>
        <v>694.80902400000025</v>
      </c>
      <c r="G15" s="72">
        <f>(C15+F15)*8%</f>
        <v>274.63032192000003</v>
      </c>
      <c r="H15" s="308">
        <v>44663</v>
      </c>
      <c r="I15" s="74">
        <f>I13</f>
        <v>44657</v>
      </c>
      <c r="J15" s="232">
        <f>H15-I15</f>
        <v>6</v>
      </c>
      <c r="K15" s="391">
        <v>2.86E-2</v>
      </c>
      <c r="L15" s="72">
        <f>(E15+F15)*K15</f>
        <v>35.533184086400006</v>
      </c>
    </row>
    <row r="16" spans="1:12" ht="16.5" customHeight="1" x14ac:dyDescent="0.25">
      <c r="A16" s="176">
        <v>0.8</v>
      </c>
      <c r="B16" s="73" t="s">
        <v>20</v>
      </c>
      <c r="C16" s="72">
        <v>1583.95</v>
      </c>
      <c r="D16" s="70">
        <v>0</v>
      </c>
      <c r="E16" s="72">
        <f t="shared" ref="E16:E27" si="7">C16-D16</f>
        <v>1583.95</v>
      </c>
      <c r="F16" s="72">
        <v>0</v>
      </c>
      <c r="G16" s="72">
        <f t="shared" ref="G16:G27" si="8">(C16+F16)*8%</f>
        <v>126.71600000000001</v>
      </c>
      <c r="H16" s="309"/>
      <c r="I16" s="74">
        <f t="shared" si="5"/>
        <v>44657</v>
      </c>
      <c r="J16" s="232">
        <v>0</v>
      </c>
      <c r="K16" s="391">
        <v>2.86E-2</v>
      </c>
      <c r="L16" s="72">
        <f t="shared" ref="L16:L27" si="9">(E16+F16)*K16</f>
        <v>45.30097</v>
      </c>
    </row>
    <row r="17" spans="1:12" ht="16.5" customHeight="1" x14ac:dyDescent="0.25">
      <c r="A17" s="176">
        <v>0.8</v>
      </c>
      <c r="B17" s="73" t="s">
        <v>21</v>
      </c>
      <c r="C17" s="72">
        <v>2437.13</v>
      </c>
      <c r="D17" s="70">
        <f t="shared" si="6"/>
        <v>1949.7</v>
      </c>
      <c r="E17" s="72">
        <f t="shared" si="7"/>
        <v>487.43000000000006</v>
      </c>
      <c r="F17" s="72">
        <v>0</v>
      </c>
      <c r="G17" s="72">
        <f t="shared" si="8"/>
        <v>194.97040000000001</v>
      </c>
      <c r="H17" s="308">
        <v>44663</v>
      </c>
      <c r="I17" s="74">
        <f t="shared" si="5"/>
        <v>44657</v>
      </c>
      <c r="J17" s="232">
        <f t="shared" ref="J17:J27" si="10">H17-I17</f>
        <v>6</v>
      </c>
      <c r="K17" s="391">
        <v>2.86E-2</v>
      </c>
      <c r="L17" s="72">
        <f t="shared" si="9"/>
        <v>13.940498000000002</v>
      </c>
    </row>
    <row r="18" spans="1:12" ht="16.5" customHeight="1" x14ac:dyDescent="0.25">
      <c r="A18" s="176">
        <v>0.8</v>
      </c>
      <c r="B18" s="73" t="s">
        <v>22</v>
      </c>
      <c r="C18" s="72">
        <v>1638.77</v>
      </c>
      <c r="D18" s="70">
        <f t="shared" si="6"/>
        <v>1311.02</v>
      </c>
      <c r="E18" s="72">
        <f t="shared" si="7"/>
        <v>327.75</v>
      </c>
      <c r="F18" s="72">
        <v>0</v>
      </c>
      <c r="G18" s="72">
        <f t="shared" si="8"/>
        <v>131.10159999999999</v>
      </c>
      <c r="H18" s="308">
        <v>44663</v>
      </c>
      <c r="I18" s="74">
        <f t="shared" si="5"/>
        <v>44657</v>
      </c>
      <c r="J18" s="232">
        <f t="shared" si="10"/>
        <v>6</v>
      </c>
      <c r="K18" s="391">
        <v>2.86E-2</v>
      </c>
      <c r="L18" s="72">
        <f t="shared" si="9"/>
        <v>9.3736499999999996</v>
      </c>
    </row>
    <row r="19" spans="1:12" ht="16.5" customHeight="1" x14ac:dyDescent="0.25">
      <c r="A19" s="176">
        <v>0.8</v>
      </c>
      <c r="B19" s="73" t="s">
        <v>23</v>
      </c>
      <c r="C19" s="72">
        <v>3232.55</v>
      </c>
      <c r="D19" s="70">
        <f t="shared" si="6"/>
        <v>2586.04</v>
      </c>
      <c r="E19" s="72">
        <f t="shared" si="7"/>
        <v>646.51000000000022</v>
      </c>
      <c r="F19" s="72">
        <v>0</v>
      </c>
      <c r="G19" s="72">
        <f t="shared" si="8"/>
        <v>258.60400000000004</v>
      </c>
      <c r="H19" s="308">
        <v>44663</v>
      </c>
      <c r="I19" s="74">
        <f t="shared" si="5"/>
        <v>44657</v>
      </c>
      <c r="J19" s="232">
        <f t="shared" si="10"/>
        <v>6</v>
      </c>
      <c r="K19" s="391">
        <v>2.86E-2</v>
      </c>
      <c r="L19" s="72">
        <f t="shared" si="9"/>
        <v>18.490186000000005</v>
      </c>
    </row>
    <row r="20" spans="1:12" ht="16.5" customHeight="1" x14ac:dyDescent="0.25">
      <c r="A20" s="176">
        <v>0.8</v>
      </c>
      <c r="B20" s="73" t="s">
        <v>25</v>
      </c>
      <c r="C20" s="72">
        <v>6254.16</v>
      </c>
      <c r="D20" s="70">
        <f t="shared" si="6"/>
        <v>5003.33</v>
      </c>
      <c r="E20" s="72">
        <f t="shared" si="7"/>
        <v>1250.83</v>
      </c>
      <c r="F20" s="72">
        <v>0</v>
      </c>
      <c r="G20" s="72">
        <f t="shared" si="8"/>
        <v>500.33280000000002</v>
      </c>
      <c r="H20" s="308">
        <v>44663</v>
      </c>
      <c r="I20" s="74">
        <f t="shared" si="5"/>
        <v>44657</v>
      </c>
      <c r="J20" s="232">
        <f t="shared" si="10"/>
        <v>6</v>
      </c>
      <c r="K20" s="391">
        <v>2.86E-2</v>
      </c>
      <c r="L20" s="72">
        <f t="shared" si="9"/>
        <v>35.773738000000002</v>
      </c>
    </row>
    <row r="21" spans="1:12" ht="16.5" customHeight="1" x14ac:dyDescent="0.25">
      <c r="A21" s="176">
        <v>0.8</v>
      </c>
      <c r="B21" s="73" t="s">
        <v>60</v>
      </c>
      <c r="C21" s="72">
        <v>1582.3</v>
      </c>
      <c r="D21" s="70">
        <f t="shared" si="6"/>
        <v>1265.8399999999999</v>
      </c>
      <c r="E21" s="72">
        <f t="shared" si="7"/>
        <v>316.46000000000004</v>
      </c>
      <c r="F21" s="72">
        <v>0</v>
      </c>
      <c r="G21" s="72">
        <f t="shared" si="8"/>
        <v>126.584</v>
      </c>
      <c r="H21" s="308">
        <v>44663</v>
      </c>
      <c r="I21" s="74">
        <f t="shared" si="5"/>
        <v>44657</v>
      </c>
      <c r="J21" s="232">
        <f t="shared" si="10"/>
        <v>6</v>
      </c>
      <c r="K21" s="391">
        <v>2.86E-2</v>
      </c>
      <c r="L21" s="72">
        <f t="shared" si="9"/>
        <v>9.0507560000000016</v>
      </c>
    </row>
    <row r="22" spans="1:12" ht="16.5" customHeight="1" x14ac:dyDescent="0.25">
      <c r="A22" s="176">
        <v>0.8</v>
      </c>
      <c r="B22" s="73" t="s">
        <v>26</v>
      </c>
      <c r="C22" s="72">
        <v>6404.82</v>
      </c>
      <c r="D22" s="70">
        <f t="shared" si="6"/>
        <v>5123.8599999999997</v>
      </c>
      <c r="E22" s="72">
        <f t="shared" si="7"/>
        <v>1280.96</v>
      </c>
      <c r="F22" s="72">
        <f>'H.A Duração'!AA10</f>
        <v>0</v>
      </c>
      <c r="G22" s="72">
        <f t="shared" si="8"/>
        <v>512.38559999999995</v>
      </c>
      <c r="H22" s="308">
        <v>44663</v>
      </c>
      <c r="I22" s="74">
        <f t="shared" si="5"/>
        <v>44657</v>
      </c>
      <c r="J22" s="232">
        <f t="shared" si="10"/>
        <v>6</v>
      </c>
      <c r="K22" s="391">
        <v>2.86E-2</v>
      </c>
      <c r="L22" s="72">
        <f t="shared" si="9"/>
        <v>36.635456000000005</v>
      </c>
    </row>
    <row r="23" spans="1:12" ht="16.5" customHeight="1" x14ac:dyDescent="0.25">
      <c r="A23" s="176">
        <v>0.8</v>
      </c>
      <c r="B23" s="73" t="s">
        <v>27</v>
      </c>
      <c r="C23" s="72">
        <v>565.45000000000005</v>
      </c>
      <c r="D23" s="70">
        <f t="shared" si="6"/>
        <v>452.36</v>
      </c>
      <c r="E23" s="72">
        <f t="shared" si="7"/>
        <v>113.09000000000003</v>
      </c>
      <c r="F23" s="72">
        <f>'H.A Duração'!AA12</f>
        <v>197.9913600000001</v>
      </c>
      <c r="G23" s="72">
        <f t="shared" si="8"/>
        <v>61.075308800000016</v>
      </c>
      <c r="H23" s="308">
        <v>44663</v>
      </c>
      <c r="I23" s="74">
        <f t="shared" si="5"/>
        <v>44657</v>
      </c>
      <c r="J23" s="232">
        <f t="shared" si="10"/>
        <v>6</v>
      </c>
      <c r="K23" s="391">
        <v>2.86E-2</v>
      </c>
      <c r="L23" s="72">
        <f t="shared" si="9"/>
        <v>8.8969268960000036</v>
      </c>
    </row>
    <row r="24" spans="1:12" ht="16.5" customHeight="1" x14ac:dyDescent="0.25">
      <c r="A24" s="176">
        <v>0.8</v>
      </c>
      <c r="B24" s="73" t="s">
        <v>29</v>
      </c>
      <c r="C24" s="72">
        <v>2287.7600000000002</v>
      </c>
      <c r="D24" s="70">
        <f t="shared" si="6"/>
        <v>1830.21</v>
      </c>
      <c r="E24" s="72">
        <f t="shared" si="7"/>
        <v>457.55000000000018</v>
      </c>
      <c r="F24" s="72">
        <v>0</v>
      </c>
      <c r="G24" s="72">
        <f t="shared" si="8"/>
        <v>183.02080000000001</v>
      </c>
      <c r="H24" s="308">
        <v>44663</v>
      </c>
      <c r="I24" s="74">
        <f t="shared" si="5"/>
        <v>44657</v>
      </c>
      <c r="J24" s="232">
        <f t="shared" si="10"/>
        <v>6</v>
      </c>
      <c r="K24" s="391">
        <v>2.86E-2</v>
      </c>
      <c r="L24" s="72">
        <f t="shared" si="9"/>
        <v>13.085930000000005</v>
      </c>
    </row>
    <row r="25" spans="1:12" ht="16.5" customHeight="1" x14ac:dyDescent="0.25">
      <c r="A25" s="176">
        <v>0.8</v>
      </c>
      <c r="B25" s="73" t="s">
        <v>30</v>
      </c>
      <c r="C25" s="72">
        <v>1974.55</v>
      </c>
      <c r="D25" s="70">
        <f t="shared" si="6"/>
        <v>1579.64</v>
      </c>
      <c r="E25" s="72">
        <f t="shared" si="7"/>
        <v>394.90999999999985</v>
      </c>
      <c r="F25" s="72">
        <v>0</v>
      </c>
      <c r="G25" s="72">
        <f t="shared" si="8"/>
        <v>157.964</v>
      </c>
      <c r="H25" s="308">
        <v>44663</v>
      </c>
      <c r="I25" s="74">
        <f t="shared" si="5"/>
        <v>44657</v>
      </c>
      <c r="J25" s="232">
        <f t="shared" si="10"/>
        <v>6</v>
      </c>
      <c r="K25" s="391">
        <v>2.86E-2</v>
      </c>
      <c r="L25" s="72">
        <f t="shared" si="9"/>
        <v>11.294425999999996</v>
      </c>
    </row>
    <row r="26" spans="1:12" ht="16.5" customHeight="1" x14ac:dyDescent="0.25">
      <c r="A26" s="176">
        <v>0.8</v>
      </c>
      <c r="B26" s="73" t="s">
        <v>31</v>
      </c>
      <c r="C26" s="72">
        <v>739.66</v>
      </c>
      <c r="D26" s="70">
        <f t="shared" si="6"/>
        <v>591.73</v>
      </c>
      <c r="E26" s="72">
        <f t="shared" si="7"/>
        <v>147.92999999999995</v>
      </c>
      <c r="F26" s="72">
        <f>'H.A Duração'!AA17</f>
        <v>1016.355648</v>
      </c>
      <c r="G26" s="72">
        <f t="shared" si="8"/>
        <v>140.48125184</v>
      </c>
      <c r="H26" s="308">
        <v>44663</v>
      </c>
      <c r="I26" s="74">
        <f t="shared" si="5"/>
        <v>44657</v>
      </c>
      <c r="J26" s="232">
        <f t="shared" si="10"/>
        <v>6</v>
      </c>
      <c r="K26" s="391">
        <v>2.86E-2</v>
      </c>
      <c r="L26" s="72">
        <f t="shared" si="9"/>
        <v>33.298569532800002</v>
      </c>
    </row>
    <row r="27" spans="1:12" ht="16.5" customHeight="1" x14ac:dyDescent="0.25">
      <c r="A27" s="176">
        <v>0.8</v>
      </c>
      <c r="B27" s="73" t="s">
        <v>32</v>
      </c>
      <c r="C27" s="72">
        <v>1097.18</v>
      </c>
      <c r="D27" s="70">
        <f t="shared" si="6"/>
        <v>877.74</v>
      </c>
      <c r="E27" s="72">
        <f t="shared" si="7"/>
        <v>219.44000000000005</v>
      </c>
      <c r="F27" s="72">
        <f>'H.A Duração'!AA18</f>
        <v>329.12006400000001</v>
      </c>
      <c r="G27" s="72">
        <f t="shared" si="8"/>
        <v>114.10400512000001</v>
      </c>
      <c r="H27" s="346">
        <v>44663</v>
      </c>
      <c r="I27" s="74">
        <f t="shared" si="5"/>
        <v>44657</v>
      </c>
      <c r="J27" s="232">
        <f t="shared" si="10"/>
        <v>6</v>
      </c>
      <c r="K27" s="391">
        <v>2.86E-2</v>
      </c>
      <c r="L27" s="72">
        <f t="shared" si="9"/>
        <v>15.688817830400001</v>
      </c>
    </row>
    <row r="28" spans="1:12" ht="16.5" customHeight="1" x14ac:dyDescent="0.25">
      <c r="A28" s="190"/>
      <c r="B28" s="314" t="s">
        <v>160</v>
      </c>
      <c r="C28" s="314">
        <f>SUM(C15:C27)</f>
        <v>32536.35</v>
      </c>
      <c r="D28" s="314">
        <f>SUM(D15:D27)</f>
        <v>24761.93</v>
      </c>
      <c r="E28" s="327">
        <f>SUM(E15:E27)</f>
        <v>7774.4200000000019</v>
      </c>
      <c r="F28" s="454">
        <f>SUM(F15:F27)</f>
        <v>2238.2760960000005</v>
      </c>
      <c r="G28" s="314">
        <f>SUM(G15:G27)</f>
        <v>2781.9700876800007</v>
      </c>
      <c r="H28" s="315"/>
      <c r="I28" s="323"/>
      <c r="J28" s="315"/>
      <c r="K28" s="392"/>
      <c r="L28" s="317">
        <f>SUM(L15:L27)</f>
        <v>286.36310834560004</v>
      </c>
    </row>
    <row r="29" spans="1:12" ht="16.5" customHeight="1" x14ac:dyDescent="0.25">
      <c r="A29" s="313"/>
      <c r="B29" s="73" t="s">
        <v>33</v>
      </c>
      <c r="C29" s="72">
        <v>2347.1999999999998</v>
      </c>
      <c r="D29" s="70">
        <f>C29</f>
        <v>2347.1999999999998</v>
      </c>
      <c r="E29" s="72">
        <f>C29-D29</f>
        <v>0</v>
      </c>
      <c r="F29" s="72">
        <v>0</v>
      </c>
      <c r="G29" s="70">
        <f>(C29+F29)*8%</f>
        <v>187.77599999999998</v>
      </c>
      <c r="H29" s="311">
        <v>44663</v>
      </c>
      <c r="I29" s="74">
        <f>I27</f>
        <v>44657</v>
      </c>
      <c r="J29" s="324">
        <f>H29-I29</f>
        <v>6</v>
      </c>
      <c r="K29" s="391">
        <v>2.86E-2</v>
      </c>
      <c r="L29" s="72">
        <f>(E29+F29)*K29</f>
        <v>0</v>
      </c>
    </row>
    <row r="30" spans="1:12" ht="16.5" customHeight="1" x14ac:dyDescent="0.25">
      <c r="A30" s="313"/>
      <c r="B30" s="73" t="s">
        <v>34</v>
      </c>
      <c r="C30" s="72">
        <v>2539.9699999999998</v>
      </c>
      <c r="D30" s="70">
        <f t="shared" ref="D30:D91" si="11">C30</f>
        <v>2539.9699999999998</v>
      </c>
      <c r="E30" s="72">
        <f t="shared" ref="E30:E91" si="12">C30-D30</f>
        <v>0</v>
      </c>
      <c r="F30" s="72">
        <v>0</v>
      </c>
      <c r="G30" s="70">
        <f t="shared" ref="G30:G93" si="13">(C30+F30)*8%</f>
        <v>203.19759999999999</v>
      </c>
      <c r="H30" s="311">
        <v>44663</v>
      </c>
      <c r="I30" s="74">
        <f>I29</f>
        <v>44657</v>
      </c>
      <c r="J30" s="324">
        <f t="shared" ref="J30:J91" si="14">H30-I30</f>
        <v>6</v>
      </c>
      <c r="K30" s="391">
        <v>2.86E-2</v>
      </c>
      <c r="L30" s="72">
        <f t="shared" ref="L30:L93" si="15">(E30+F30)*K30</f>
        <v>0</v>
      </c>
    </row>
    <row r="31" spans="1:12" ht="16.5" customHeight="1" x14ac:dyDescent="0.25">
      <c r="A31" s="313"/>
      <c r="B31" s="73" t="s">
        <v>35</v>
      </c>
      <c r="C31" s="72">
        <v>112.94</v>
      </c>
      <c r="D31" s="70">
        <f t="shared" si="11"/>
        <v>112.94</v>
      </c>
      <c r="E31" s="72">
        <f t="shared" si="12"/>
        <v>0</v>
      </c>
      <c r="F31" s="72">
        <v>0</v>
      </c>
      <c r="G31" s="70">
        <f t="shared" si="13"/>
        <v>9.0351999999999997</v>
      </c>
      <c r="H31" s="311">
        <v>44663</v>
      </c>
      <c r="I31" s="74">
        <f t="shared" ref="I31:I92" si="16">I29</f>
        <v>44657</v>
      </c>
      <c r="J31" s="324">
        <f t="shared" si="14"/>
        <v>6</v>
      </c>
      <c r="K31" s="391">
        <v>2.86E-2</v>
      </c>
      <c r="L31" s="72">
        <f t="shared" si="15"/>
        <v>0</v>
      </c>
    </row>
    <row r="32" spans="1:12" ht="16.5" customHeight="1" x14ac:dyDescent="0.25">
      <c r="A32" s="313"/>
      <c r="B32" s="73" t="s">
        <v>219</v>
      </c>
      <c r="C32" s="72">
        <v>489.71</v>
      </c>
      <c r="D32" s="70">
        <f t="shared" si="11"/>
        <v>489.71</v>
      </c>
      <c r="E32" s="72">
        <f t="shared" si="12"/>
        <v>0</v>
      </c>
      <c r="F32" s="72">
        <v>0</v>
      </c>
      <c r="G32" s="70">
        <f t="shared" si="13"/>
        <v>39.1768</v>
      </c>
      <c r="H32" s="311">
        <v>44662</v>
      </c>
      <c r="I32" s="74">
        <f t="shared" si="16"/>
        <v>44657</v>
      </c>
      <c r="J32" s="324">
        <f t="shared" si="14"/>
        <v>5</v>
      </c>
      <c r="K32" s="391">
        <v>2.86E-2</v>
      </c>
      <c r="L32" s="72">
        <f t="shared" si="15"/>
        <v>0</v>
      </c>
    </row>
    <row r="33" spans="1:12" ht="16.5" customHeight="1" x14ac:dyDescent="0.25">
      <c r="A33" s="313"/>
      <c r="B33" s="73" t="s">
        <v>37</v>
      </c>
      <c r="C33" s="72">
        <v>866.39</v>
      </c>
      <c r="D33" s="70">
        <f t="shared" si="11"/>
        <v>866.39</v>
      </c>
      <c r="E33" s="72">
        <f t="shared" si="12"/>
        <v>0</v>
      </c>
      <c r="F33" s="72">
        <v>0</v>
      </c>
      <c r="G33" s="70">
        <f t="shared" si="13"/>
        <v>69.311199999999999</v>
      </c>
      <c r="H33" s="311">
        <v>44663</v>
      </c>
      <c r="I33" s="74">
        <f t="shared" si="16"/>
        <v>44657</v>
      </c>
      <c r="J33" s="324">
        <f t="shared" si="14"/>
        <v>6</v>
      </c>
      <c r="K33" s="391">
        <v>2.86E-2</v>
      </c>
      <c r="L33" s="72">
        <f t="shared" si="15"/>
        <v>0</v>
      </c>
    </row>
    <row r="34" spans="1:12" ht="16.5" customHeight="1" x14ac:dyDescent="0.25">
      <c r="A34" s="313"/>
      <c r="B34" s="73" t="s">
        <v>116</v>
      </c>
      <c r="C34" s="72">
        <v>117.27</v>
      </c>
      <c r="D34" s="70">
        <f t="shared" si="11"/>
        <v>117.27</v>
      </c>
      <c r="E34" s="72">
        <f t="shared" si="12"/>
        <v>0</v>
      </c>
      <c r="F34" s="72">
        <v>0</v>
      </c>
      <c r="G34" s="70">
        <f t="shared" si="13"/>
        <v>9.3816000000000006</v>
      </c>
      <c r="H34" s="311">
        <v>44663</v>
      </c>
      <c r="I34" s="74">
        <f t="shared" si="16"/>
        <v>44657</v>
      </c>
      <c r="J34" s="324">
        <f t="shared" si="14"/>
        <v>6</v>
      </c>
      <c r="K34" s="391">
        <v>2.86E-2</v>
      </c>
      <c r="L34" s="72">
        <f t="shared" si="15"/>
        <v>0</v>
      </c>
    </row>
    <row r="35" spans="1:12" ht="16.5" customHeight="1" x14ac:dyDescent="0.25">
      <c r="A35" s="313"/>
      <c r="B35" s="73" t="s">
        <v>105</v>
      </c>
      <c r="C35" s="72">
        <v>357.05</v>
      </c>
      <c r="D35" s="70">
        <f t="shared" si="11"/>
        <v>357.05</v>
      </c>
      <c r="E35" s="72">
        <f t="shared" si="12"/>
        <v>0</v>
      </c>
      <c r="F35" s="72">
        <v>0</v>
      </c>
      <c r="G35" s="70">
        <f t="shared" si="13"/>
        <v>28.564</v>
      </c>
      <c r="H35" s="311">
        <v>44662</v>
      </c>
      <c r="I35" s="74">
        <f t="shared" si="16"/>
        <v>44657</v>
      </c>
      <c r="J35" s="324">
        <f t="shared" si="14"/>
        <v>5</v>
      </c>
      <c r="K35" s="391">
        <v>2.86E-2</v>
      </c>
      <c r="L35" s="72">
        <f t="shared" si="15"/>
        <v>0</v>
      </c>
    </row>
    <row r="36" spans="1:12" ht="16.5" customHeight="1" x14ac:dyDescent="0.25">
      <c r="A36" s="313"/>
      <c r="B36" s="73" t="s">
        <v>38</v>
      </c>
      <c r="C36" s="72">
        <v>2113.88</v>
      </c>
      <c r="D36" s="70">
        <f t="shared" si="11"/>
        <v>2113.88</v>
      </c>
      <c r="E36" s="72">
        <f t="shared" si="12"/>
        <v>0</v>
      </c>
      <c r="F36" s="72">
        <f>'H.A Duração'!AA5</f>
        <v>942.39779199999975</v>
      </c>
      <c r="G36" s="70">
        <f t="shared" si="13"/>
        <v>244.50222335999999</v>
      </c>
      <c r="H36" s="311">
        <v>44663</v>
      </c>
      <c r="I36" s="74">
        <f t="shared" si="16"/>
        <v>44657</v>
      </c>
      <c r="J36" s="324">
        <f t="shared" si="14"/>
        <v>6</v>
      </c>
      <c r="K36" s="391">
        <v>2.86E-2</v>
      </c>
      <c r="L36" s="72">
        <f t="shared" si="15"/>
        <v>26.952576851199993</v>
      </c>
    </row>
    <row r="37" spans="1:12" ht="16.5" customHeight="1" x14ac:dyDescent="0.25">
      <c r="A37" s="313"/>
      <c r="B37" s="73" t="s">
        <v>39</v>
      </c>
      <c r="C37" s="72">
        <v>3.73</v>
      </c>
      <c r="D37" s="70">
        <f t="shared" si="11"/>
        <v>3.73</v>
      </c>
      <c r="E37" s="72">
        <f t="shared" si="12"/>
        <v>0</v>
      </c>
      <c r="F37" s="72">
        <v>0</v>
      </c>
      <c r="G37" s="70">
        <f t="shared" si="13"/>
        <v>0.2984</v>
      </c>
      <c r="H37" s="311">
        <v>44663</v>
      </c>
      <c r="I37" s="74">
        <f t="shared" si="16"/>
        <v>44657</v>
      </c>
      <c r="J37" s="324">
        <f t="shared" si="14"/>
        <v>6</v>
      </c>
      <c r="K37" s="391">
        <v>2.86E-2</v>
      </c>
      <c r="L37" s="72">
        <f t="shared" si="15"/>
        <v>0</v>
      </c>
    </row>
    <row r="38" spans="1:12" ht="16.5" customHeight="1" x14ac:dyDescent="0.25">
      <c r="A38" s="313"/>
      <c r="B38" s="73" t="s">
        <v>40</v>
      </c>
      <c r="C38" s="72">
        <v>10.11</v>
      </c>
      <c r="D38" s="70">
        <f t="shared" si="11"/>
        <v>10.11</v>
      </c>
      <c r="E38" s="72">
        <f t="shared" si="12"/>
        <v>0</v>
      </c>
      <c r="F38" s="72">
        <v>0</v>
      </c>
      <c r="G38" s="70">
        <f t="shared" si="13"/>
        <v>0.80879999999999996</v>
      </c>
      <c r="H38" s="311">
        <v>44663</v>
      </c>
      <c r="I38" s="74">
        <f t="shared" si="16"/>
        <v>44657</v>
      </c>
      <c r="J38" s="324">
        <f t="shared" si="14"/>
        <v>6</v>
      </c>
      <c r="K38" s="391">
        <v>2.86E-2</v>
      </c>
      <c r="L38" s="72">
        <f t="shared" si="15"/>
        <v>0</v>
      </c>
    </row>
    <row r="39" spans="1:12" ht="16.5" customHeight="1" x14ac:dyDescent="0.25">
      <c r="A39" s="313"/>
      <c r="B39" s="73" t="s">
        <v>41</v>
      </c>
      <c r="C39" s="72">
        <v>1547.99</v>
      </c>
      <c r="D39" s="70">
        <f t="shared" si="11"/>
        <v>1547.99</v>
      </c>
      <c r="E39" s="72">
        <f t="shared" si="12"/>
        <v>0</v>
      </c>
      <c r="F39" s="72">
        <v>0</v>
      </c>
      <c r="G39" s="70">
        <f t="shared" si="13"/>
        <v>123.83920000000001</v>
      </c>
      <c r="H39" s="311">
        <v>44663</v>
      </c>
      <c r="I39" s="74">
        <f t="shared" si="16"/>
        <v>44657</v>
      </c>
      <c r="J39" s="324">
        <f t="shared" si="14"/>
        <v>6</v>
      </c>
      <c r="K39" s="391">
        <v>2.86E-2</v>
      </c>
      <c r="L39" s="72">
        <f t="shared" si="15"/>
        <v>0</v>
      </c>
    </row>
    <row r="40" spans="1:12" ht="16.5" customHeight="1" x14ac:dyDescent="0.25">
      <c r="A40" s="313"/>
      <c r="B40" s="73" t="s">
        <v>42</v>
      </c>
      <c r="C40" s="72">
        <v>866.37</v>
      </c>
      <c r="D40" s="70">
        <f t="shared" si="11"/>
        <v>866.37</v>
      </c>
      <c r="E40" s="72">
        <f t="shared" si="12"/>
        <v>0</v>
      </c>
      <c r="F40" s="72">
        <f>'H.A Duração'!AA6</f>
        <v>120.36752000000007</v>
      </c>
      <c r="G40" s="70">
        <f t="shared" si="13"/>
        <v>78.939001600000012</v>
      </c>
      <c r="H40" s="311">
        <v>44663</v>
      </c>
      <c r="I40" s="74">
        <f t="shared" si="16"/>
        <v>44657</v>
      </c>
      <c r="J40" s="324">
        <f t="shared" si="14"/>
        <v>6</v>
      </c>
      <c r="K40" s="391">
        <v>2.86E-2</v>
      </c>
      <c r="L40" s="72">
        <f t="shared" si="15"/>
        <v>3.4425110720000021</v>
      </c>
    </row>
    <row r="41" spans="1:12" ht="16.5" customHeight="1" x14ac:dyDescent="0.25">
      <c r="A41" s="313"/>
      <c r="B41" s="73" t="s">
        <v>43</v>
      </c>
      <c r="C41" s="72">
        <v>56.47</v>
      </c>
      <c r="D41" s="70">
        <f t="shared" si="11"/>
        <v>56.47</v>
      </c>
      <c r="E41" s="72">
        <f t="shared" si="12"/>
        <v>0</v>
      </c>
      <c r="F41" s="72">
        <v>0</v>
      </c>
      <c r="G41" s="70">
        <f t="shared" si="13"/>
        <v>4.5175999999999998</v>
      </c>
      <c r="H41" s="311">
        <v>44658</v>
      </c>
      <c r="I41" s="74">
        <f t="shared" si="16"/>
        <v>44657</v>
      </c>
      <c r="J41" s="324">
        <f t="shared" si="14"/>
        <v>1</v>
      </c>
      <c r="K41" s="391">
        <v>2.86E-2</v>
      </c>
      <c r="L41" s="72">
        <f t="shared" si="15"/>
        <v>0</v>
      </c>
    </row>
    <row r="42" spans="1:12" ht="16.5" customHeight="1" x14ac:dyDescent="0.25">
      <c r="A42" s="313"/>
      <c r="B42" s="73" t="s">
        <v>44</v>
      </c>
      <c r="C42" s="72">
        <v>3.38</v>
      </c>
      <c r="D42" s="70">
        <f t="shared" si="11"/>
        <v>3.38</v>
      </c>
      <c r="E42" s="72">
        <f t="shared" si="12"/>
        <v>0</v>
      </c>
      <c r="F42" s="72">
        <v>0</v>
      </c>
      <c r="G42" s="70">
        <f t="shared" si="13"/>
        <v>0.27039999999999997</v>
      </c>
      <c r="H42" s="311">
        <v>44663</v>
      </c>
      <c r="I42" s="74">
        <f t="shared" si="16"/>
        <v>44657</v>
      </c>
      <c r="J42" s="324">
        <f t="shared" si="14"/>
        <v>6</v>
      </c>
      <c r="K42" s="391">
        <v>2.86E-2</v>
      </c>
      <c r="L42" s="72">
        <f t="shared" si="15"/>
        <v>0</v>
      </c>
    </row>
    <row r="43" spans="1:12" ht="16.5" customHeight="1" x14ac:dyDescent="0.25">
      <c r="A43" s="313"/>
      <c r="B43" s="73" t="s">
        <v>241</v>
      </c>
      <c r="C43" s="72">
        <v>546.17999999999995</v>
      </c>
      <c r="D43" s="70">
        <f t="shared" si="11"/>
        <v>546.17999999999995</v>
      </c>
      <c r="E43" s="72">
        <f t="shared" si="12"/>
        <v>0</v>
      </c>
      <c r="F43" s="72">
        <v>0</v>
      </c>
      <c r="G43" s="70">
        <f t="shared" si="13"/>
        <v>43.694399999999995</v>
      </c>
      <c r="H43" s="311">
        <v>44662</v>
      </c>
      <c r="I43" s="74">
        <f>I42</f>
        <v>44657</v>
      </c>
      <c r="J43" s="324">
        <f t="shared" si="14"/>
        <v>5</v>
      </c>
      <c r="K43" s="391">
        <v>2.86E-2</v>
      </c>
      <c r="L43" s="72">
        <f t="shared" si="15"/>
        <v>0</v>
      </c>
    </row>
    <row r="44" spans="1:12" ht="16.5" customHeight="1" x14ac:dyDescent="0.25">
      <c r="A44" s="313"/>
      <c r="B44" s="73" t="s">
        <v>46</v>
      </c>
      <c r="C44" s="72">
        <v>3.73</v>
      </c>
      <c r="D44" s="70">
        <f t="shared" si="11"/>
        <v>3.73</v>
      </c>
      <c r="E44" s="72">
        <f t="shared" si="12"/>
        <v>0</v>
      </c>
      <c r="F44" s="72">
        <v>0</v>
      </c>
      <c r="G44" s="70">
        <f t="shared" si="13"/>
        <v>0.2984</v>
      </c>
      <c r="H44" s="311">
        <v>44663</v>
      </c>
      <c r="I44" s="74">
        <f>I43</f>
        <v>44657</v>
      </c>
      <c r="J44" s="324">
        <f t="shared" si="14"/>
        <v>6</v>
      </c>
      <c r="K44" s="391">
        <v>2.86E-2</v>
      </c>
      <c r="L44" s="72">
        <f t="shared" si="15"/>
        <v>0</v>
      </c>
    </row>
    <row r="45" spans="1:12" ht="16.5" customHeight="1" x14ac:dyDescent="0.25">
      <c r="A45" s="313"/>
      <c r="B45" s="73" t="s">
        <v>47</v>
      </c>
      <c r="C45" s="72">
        <v>6.9</v>
      </c>
      <c r="D45" s="70">
        <f t="shared" si="11"/>
        <v>6.9</v>
      </c>
      <c r="E45" s="72">
        <f t="shared" si="12"/>
        <v>0</v>
      </c>
      <c r="F45" s="72">
        <v>0</v>
      </c>
      <c r="G45" s="70">
        <f t="shared" si="13"/>
        <v>0.55200000000000005</v>
      </c>
      <c r="H45" s="311">
        <v>44663</v>
      </c>
      <c r="I45" s="74">
        <f t="shared" si="16"/>
        <v>44657</v>
      </c>
      <c r="J45" s="324">
        <f t="shared" si="14"/>
        <v>6</v>
      </c>
      <c r="K45" s="391">
        <v>2.86E-2</v>
      </c>
      <c r="L45" s="72">
        <f t="shared" si="15"/>
        <v>0</v>
      </c>
    </row>
    <row r="46" spans="1:12" ht="16.5" customHeight="1" x14ac:dyDescent="0.25">
      <c r="A46" s="313"/>
      <c r="B46" s="73" t="s">
        <v>50</v>
      </c>
      <c r="C46" s="72">
        <v>834.88</v>
      </c>
      <c r="D46" s="70">
        <f t="shared" si="11"/>
        <v>834.88</v>
      </c>
      <c r="E46" s="72">
        <f t="shared" si="12"/>
        <v>0</v>
      </c>
      <c r="F46" s="72">
        <v>0</v>
      </c>
      <c r="G46" s="70">
        <f t="shared" si="13"/>
        <v>66.790400000000005</v>
      </c>
      <c r="H46" s="311">
        <v>44662</v>
      </c>
      <c r="I46" s="74">
        <f t="shared" si="16"/>
        <v>44657</v>
      </c>
      <c r="J46" s="324">
        <f t="shared" si="14"/>
        <v>5</v>
      </c>
      <c r="K46" s="391">
        <v>2.86E-2</v>
      </c>
      <c r="L46" s="72">
        <f t="shared" si="15"/>
        <v>0</v>
      </c>
    </row>
    <row r="47" spans="1:12" ht="16.5" customHeight="1" x14ac:dyDescent="0.25">
      <c r="A47" s="313"/>
      <c r="B47" s="73" t="s">
        <v>51</v>
      </c>
      <c r="C47" s="72">
        <v>61.15</v>
      </c>
      <c r="D47" s="70">
        <f t="shared" si="11"/>
        <v>61.15</v>
      </c>
      <c r="E47" s="72">
        <f t="shared" si="12"/>
        <v>0</v>
      </c>
      <c r="F47" s="72">
        <v>0</v>
      </c>
      <c r="G47" s="70">
        <f t="shared" si="13"/>
        <v>4.8920000000000003</v>
      </c>
      <c r="H47" s="311">
        <v>44663</v>
      </c>
      <c r="I47" s="74">
        <f t="shared" si="16"/>
        <v>44657</v>
      </c>
      <c r="J47" s="324">
        <f t="shared" si="14"/>
        <v>6</v>
      </c>
      <c r="K47" s="391">
        <v>2.86E-2</v>
      </c>
      <c r="L47" s="72">
        <f t="shared" si="15"/>
        <v>0</v>
      </c>
    </row>
    <row r="48" spans="1:12" ht="16.5" customHeight="1" x14ac:dyDescent="0.25">
      <c r="A48" s="313"/>
      <c r="B48" s="73" t="s">
        <v>52</v>
      </c>
      <c r="C48" s="72">
        <v>58.28</v>
      </c>
      <c r="D48" s="70">
        <f t="shared" si="11"/>
        <v>58.28</v>
      </c>
      <c r="E48" s="72">
        <f t="shared" si="12"/>
        <v>0</v>
      </c>
      <c r="F48" s="72">
        <v>0</v>
      </c>
      <c r="G48" s="70">
        <f t="shared" si="13"/>
        <v>4.6623999999999999</v>
      </c>
      <c r="H48" s="311">
        <v>44663</v>
      </c>
      <c r="I48" s="74">
        <f t="shared" si="16"/>
        <v>44657</v>
      </c>
      <c r="J48" s="324">
        <f t="shared" si="14"/>
        <v>6</v>
      </c>
      <c r="K48" s="391">
        <v>2.86E-2</v>
      </c>
      <c r="L48" s="72">
        <f t="shared" si="15"/>
        <v>0</v>
      </c>
    </row>
    <row r="49" spans="1:12" ht="16.5" customHeight="1" x14ac:dyDescent="0.25">
      <c r="A49" s="313"/>
      <c r="B49" s="73" t="s">
        <v>53</v>
      </c>
      <c r="C49" s="72">
        <v>1307.7</v>
      </c>
      <c r="D49" s="70">
        <f t="shared" si="11"/>
        <v>1307.7</v>
      </c>
      <c r="E49" s="72">
        <f t="shared" si="12"/>
        <v>0</v>
      </c>
      <c r="F49" s="72">
        <f>'H.A Duração'!AA9</f>
        <v>127.77475200000023</v>
      </c>
      <c r="G49" s="70">
        <f t="shared" si="13"/>
        <v>114.83798016000003</v>
      </c>
      <c r="H49" s="311">
        <v>44663</v>
      </c>
      <c r="I49" s="74">
        <f t="shared" si="16"/>
        <v>44657</v>
      </c>
      <c r="J49" s="324">
        <f t="shared" si="14"/>
        <v>6</v>
      </c>
      <c r="K49" s="391">
        <v>2.86E-2</v>
      </c>
      <c r="L49" s="72">
        <f t="shared" si="15"/>
        <v>3.6543579072000067</v>
      </c>
    </row>
    <row r="50" spans="1:12" ht="16.5" customHeight="1" x14ac:dyDescent="0.25">
      <c r="A50" s="313"/>
      <c r="B50" s="73" t="s">
        <v>54</v>
      </c>
      <c r="C50" s="72">
        <v>6.37</v>
      </c>
      <c r="D50" s="70">
        <f t="shared" si="11"/>
        <v>6.37</v>
      </c>
      <c r="E50" s="72">
        <f t="shared" si="12"/>
        <v>0</v>
      </c>
      <c r="F50" s="72">
        <v>0</v>
      </c>
      <c r="G50" s="70">
        <f t="shared" si="13"/>
        <v>0.50960000000000005</v>
      </c>
      <c r="H50" s="311">
        <v>44663</v>
      </c>
      <c r="I50" s="74">
        <f t="shared" si="16"/>
        <v>44657</v>
      </c>
      <c r="J50" s="324">
        <f t="shared" si="14"/>
        <v>6</v>
      </c>
      <c r="K50" s="391">
        <v>2.86E-2</v>
      </c>
      <c r="L50" s="72">
        <f t="shared" si="15"/>
        <v>0</v>
      </c>
    </row>
    <row r="51" spans="1:12" ht="16.5" customHeight="1" x14ac:dyDescent="0.25">
      <c r="A51" s="313"/>
      <c r="B51" s="73" t="s">
        <v>55</v>
      </c>
      <c r="C51" s="72">
        <v>4.33</v>
      </c>
      <c r="D51" s="70">
        <f t="shared" si="11"/>
        <v>4.33</v>
      </c>
      <c r="E51" s="72">
        <f t="shared" si="12"/>
        <v>0</v>
      </c>
      <c r="F51" s="72">
        <v>0</v>
      </c>
      <c r="G51" s="70">
        <f t="shared" si="13"/>
        <v>0.34639999999999999</v>
      </c>
      <c r="H51" s="311">
        <v>44663</v>
      </c>
      <c r="I51" s="74">
        <f t="shared" si="16"/>
        <v>44657</v>
      </c>
      <c r="J51" s="324">
        <f t="shared" si="14"/>
        <v>6</v>
      </c>
      <c r="K51" s="391">
        <v>2.86E-2</v>
      </c>
      <c r="L51" s="72">
        <f t="shared" si="15"/>
        <v>0</v>
      </c>
    </row>
    <row r="52" spans="1:12" ht="16.5" customHeight="1" x14ac:dyDescent="0.25">
      <c r="A52" s="313"/>
      <c r="B52" s="73" t="s">
        <v>57</v>
      </c>
      <c r="C52" s="72">
        <v>4.33</v>
      </c>
      <c r="D52" s="70">
        <f t="shared" si="11"/>
        <v>4.33</v>
      </c>
      <c r="E52" s="72">
        <f t="shared" si="12"/>
        <v>0</v>
      </c>
      <c r="F52" s="72">
        <v>0</v>
      </c>
      <c r="G52" s="70">
        <f t="shared" si="13"/>
        <v>0.34639999999999999</v>
      </c>
      <c r="H52" s="311">
        <v>44663</v>
      </c>
      <c r="I52" s="74">
        <f t="shared" si="16"/>
        <v>44657</v>
      </c>
      <c r="J52" s="324">
        <f t="shared" si="14"/>
        <v>6</v>
      </c>
      <c r="K52" s="391">
        <v>2.86E-2</v>
      </c>
      <c r="L52" s="72">
        <f t="shared" si="15"/>
        <v>0</v>
      </c>
    </row>
    <row r="53" spans="1:12" ht="16.5" customHeight="1" x14ac:dyDescent="0.25">
      <c r="A53" s="313"/>
      <c r="B53" s="73" t="s">
        <v>220</v>
      </c>
      <c r="C53" s="72">
        <v>1724.44</v>
      </c>
      <c r="D53" s="70">
        <f t="shared" si="11"/>
        <v>1724.44</v>
      </c>
      <c r="E53" s="72">
        <f t="shared" si="12"/>
        <v>0</v>
      </c>
      <c r="F53" s="72">
        <v>0</v>
      </c>
      <c r="G53" s="70">
        <f t="shared" si="13"/>
        <v>137.95520000000002</v>
      </c>
      <c r="H53" s="311">
        <v>44662</v>
      </c>
      <c r="I53" s="74">
        <f t="shared" si="16"/>
        <v>44657</v>
      </c>
      <c r="J53" s="324">
        <f t="shared" si="14"/>
        <v>5</v>
      </c>
      <c r="K53" s="391">
        <v>2.86E-2</v>
      </c>
      <c r="L53" s="72">
        <f t="shared" si="15"/>
        <v>0</v>
      </c>
    </row>
    <row r="54" spans="1:12" ht="16.5" customHeight="1" x14ac:dyDescent="0.25">
      <c r="A54" s="313"/>
      <c r="B54" s="73" t="s">
        <v>4</v>
      </c>
      <c r="C54" s="72">
        <v>3.73</v>
      </c>
      <c r="D54" s="70">
        <f t="shared" si="11"/>
        <v>3.73</v>
      </c>
      <c r="E54" s="72">
        <f t="shared" si="12"/>
        <v>0</v>
      </c>
      <c r="F54" s="72">
        <v>0</v>
      </c>
      <c r="G54" s="70">
        <f t="shared" si="13"/>
        <v>0.2984</v>
      </c>
      <c r="H54" s="311">
        <v>44663</v>
      </c>
      <c r="I54" s="74">
        <f t="shared" si="16"/>
        <v>44657</v>
      </c>
      <c r="J54" s="324">
        <f t="shared" si="14"/>
        <v>6</v>
      </c>
      <c r="K54" s="391">
        <v>2.86E-2</v>
      </c>
      <c r="L54" s="72">
        <f t="shared" si="15"/>
        <v>0</v>
      </c>
    </row>
    <row r="55" spans="1:12" ht="16.5" customHeight="1" x14ac:dyDescent="0.25">
      <c r="A55" s="313"/>
      <c r="B55" s="73" t="s">
        <v>6</v>
      </c>
      <c r="C55" s="72">
        <v>114.22</v>
      </c>
      <c r="D55" s="70">
        <f t="shared" si="11"/>
        <v>114.22</v>
      </c>
      <c r="E55" s="72">
        <f t="shared" si="12"/>
        <v>0</v>
      </c>
      <c r="F55" s="72">
        <v>0</v>
      </c>
      <c r="G55" s="70">
        <f t="shared" si="13"/>
        <v>9.1376000000000008</v>
      </c>
      <c r="H55" s="311">
        <v>44663</v>
      </c>
      <c r="I55" s="74">
        <f t="shared" si="16"/>
        <v>44657</v>
      </c>
      <c r="J55" s="324">
        <f t="shared" si="14"/>
        <v>6</v>
      </c>
      <c r="K55" s="391">
        <v>2.86E-2</v>
      </c>
      <c r="L55" s="72">
        <f t="shared" si="15"/>
        <v>0</v>
      </c>
    </row>
    <row r="56" spans="1:12" ht="16.5" customHeight="1" x14ac:dyDescent="0.25">
      <c r="A56" s="313"/>
      <c r="B56" s="73" t="s">
        <v>58</v>
      </c>
      <c r="C56" s="72">
        <v>2.3199999999999998</v>
      </c>
      <c r="D56" s="70">
        <f t="shared" si="11"/>
        <v>2.3199999999999998</v>
      </c>
      <c r="E56" s="72">
        <f t="shared" si="12"/>
        <v>0</v>
      </c>
      <c r="F56" s="72">
        <v>0</v>
      </c>
      <c r="G56" s="70">
        <f t="shared" si="13"/>
        <v>0.18559999999999999</v>
      </c>
      <c r="H56" s="311">
        <v>44663</v>
      </c>
      <c r="I56" s="74">
        <f t="shared" si="16"/>
        <v>44657</v>
      </c>
      <c r="J56" s="324">
        <f t="shared" si="14"/>
        <v>6</v>
      </c>
      <c r="K56" s="391">
        <v>2.86E-2</v>
      </c>
      <c r="L56" s="72">
        <f t="shared" si="15"/>
        <v>0</v>
      </c>
    </row>
    <row r="57" spans="1:12" ht="16.5" customHeight="1" x14ac:dyDescent="0.25">
      <c r="A57" s="313"/>
      <c r="B57" s="73" t="s">
        <v>59</v>
      </c>
      <c r="C57" s="72">
        <v>4.5199999999999996</v>
      </c>
      <c r="D57" s="70">
        <f t="shared" si="11"/>
        <v>4.5199999999999996</v>
      </c>
      <c r="E57" s="72">
        <f t="shared" si="12"/>
        <v>0</v>
      </c>
      <c r="F57" s="72">
        <v>0</v>
      </c>
      <c r="G57" s="70">
        <f t="shared" si="13"/>
        <v>0.36159999999999998</v>
      </c>
      <c r="H57" s="311">
        <v>44663</v>
      </c>
      <c r="I57" s="74">
        <f t="shared" si="16"/>
        <v>44657</v>
      </c>
      <c r="J57" s="324">
        <f t="shared" si="14"/>
        <v>6</v>
      </c>
      <c r="K57" s="391">
        <v>2.86E-2</v>
      </c>
      <c r="L57" s="72">
        <f t="shared" si="15"/>
        <v>0</v>
      </c>
    </row>
    <row r="58" spans="1:12" ht="16.5" customHeight="1" x14ac:dyDescent="0.25">
      <c r="A58" s="313"/>
      <c r="B58" s="73" t="s">
        <v>242</v>
      </c>
      <c r="C58" s="72">
        <v>432.53</v>
      </c>
      <c r="D58" s="70">
        <f t="shared" si="11"/>
        <v>432.53</v>
      </c>
      <c r="E58" s="72">
        <f t="shared" si="12"/>
        <v>0</v>
      </c>
      <c r="F58" s="72">
        <v>0</v>
      </c>
      <c r="G58" s="70">
        <f t="shared" si="13"/>
        <v>34.602399999999996</v>
      </c>
      <c r="H58" s="311">
        <v>44662</v>
      </c>
      <c r="I58" s="74">
        <f t="shared" si="16"/>
        <v>44657</v>
      </c>
      <c r="J58" s="324">
        <f t="shared" si="14"/>
        <v>5</v>
      </c>
      <c r="K58" s="391">
        <v>2.86E-2</v>
      </c>
      <c r="L58" s="72">
        <f t="shared" si="15"/>
        <v>0</v>
      </c>
    </row>
    <row r="59" spans="1:12" ht="16.5" customHeight="1" x14ac:dyDescent="0.25">
      <c r="A59" s="313"/>
      <c r="B59" s="73" t="s">
        <v>62</v>
      </c>
      <c r="C59" s="72">
        <v>2.85</v>
      </c>
      <c r="D59" s="70">
        <f t="shared" si="11"/>
        <v>2.85</v>
      </c>
      <c r="E59" s="72">
        <f t="shared" si="12"/>
        <v>0</v>
      </c>
      <c r="F59" s="72">
        <v>0</v>
      </c>
      <c r="G59" s="70">
        <f t="shared" si="13"/>
        <v>0.22800000000000001</v>
      </c>
      <c r="H59" s="311">
        <v>44663</v>
      </c>
      <c r="I59" s="74">
        <f t="shared" si="16"/>
        <v>44657</v>
      </c>
      <c r="J59" s="324">
        <f t="shared" si="14"/>
        <v>6</v>
      </c>
      <c r="K59" s="391">
        <v>2.86E-2</v>
      </c>
      <c r="L59" s="72">
        <f t="shared" si="15"/>
        <v>0</v>
      </c>
    </row>
    <row r="60" spans="1:12" ht="16.5" customHeight="1" x14ac:dyDescent="0.25">
      <c r="A60" s="313"/>
      <c r="B60" s="73" t="s">
        <v>64</v>
      </c>
      <c r="C60" s="72">
        <v>10.79</v>
      </c>
      <c r="D60" s="70">
        <f t="shared" si="11"/>
        <v>10.79</v>
      </c>
      <c r="E60" s="72">
        <f t="shared" si="12"/>
        <v>0</v>
      </c>
      <c r="F60" s="72">
        <v>0</v>
      </c>
      <c r="G60" s="70">
        <f t="shared" si="13"/>
        <v>0.86319999999999997</v>
      </c>
      <c r="H60" s="311">
        <v>44663</v>
      </c>
      <c r="I60" s="74">
        <f t="shared" si="16"/>
        <v>44657</v>
      </c>
      <c r="J60" s="324">
        <f t="shared" si="14"/>
        <v>6</v>
      </c>
      <c r="K60" s="391">
        <v>2.86E-2</v>
      </c>
      <c r="L60" s="72">
        <f t="shared" si="15"/>
        <v>0</v>
      </c>
    </row>
    <row r="61" spans="1:12" ht="16.5" customHeight="1" x14ac:dyDescent="0.25">
      <c r="A61" s="313"/>
      <c r="B61" s="73" t="s">
        <v>65</v>
      </c>
      <c r="C61" s="72">
        <v>577.23</v>
      </c>
      <c r="D61" s="70">
        <f t="shared" si="11"/>
        <v>577.23</v>
      </c>
      <c r="E61" s="72">
        <f t="shared" si="12"/>
        <v>0</v>
      </c>
      <c r="F61" s="72">
        <v>0</v>
      </c>
      <c r="G61" s="70">
        <f t="shared" si="13"/>
        <v>46.178400000000003</v>
      </c>
      <c r="H61" s="311">
        <v>44663</v>
      </c>
      <c r="I61" s="74">
        <f t="shared" si="16"/>
        <v>44657</v>
      </c>
      <c r="J61" s="324">
        <f t="shared" si="14"/>
        <v>6</v>
      </c>
      <c r="K61" s="391">
        <v>2.86E-2</v>
      </c>
      <c r="L61" s="72">
        <f t="shared" si="15"/>
        <v>0</v>
      </c>
    </row>
    <row r="62" spans="1:12" ht="16.5" customHeight="1" x14ac:dyDescent="0.25">
      <c r="A62" s="313"/>
      <c r="B62" s="73" t="s">
        <v>66</v>
      </c>
      <c r="C62" s="72">
        <v>1379.81</v>
      </c>
      <c r="D62" s="70">
        <f t="shared" si="11"/>
        <v>1379.81</v>
      </c>
      <c r="E62" s="72">
        <f t="shared" si="12"/>
        <v>0</v>
      </c>
      <c r="F62" s="72">
        <f>'H.A Duração'!AA13</f>
        <v>323.14049600000021</v>
      </c>
      <c r="G62" s="70">
        <f t="shared" si="13"/>
        <v>136.23603968</v>
      </c>
      <c r="H62" s="311">
        <v>44663</v>
      </c>
      <c r="I62" s="74">
        <f t="shared" si="16"/>
        <v>44657</v>
      </c>
      <c r="J62" s="324">
        <f t="shared" si="14"/>
        <v>6</v>
      </c>
      <c r="K62" s="391">
        <v>2.86E-2</v>
      </c>
      <c r="L62" s="72">
        <f t="shared" si="15"/>
        <v>9.2418181856000068</v>
      </c>
    </row>
    <row r="63" spans="1:12" ht="16.5" customHeight="1" x14ac:dyDescent="0.25">
      <c r="A63" s="313"/>
      <c r="B63" s="73" t="s">
        <v>109</v>
      </c>
      <c r="C63" s="72">
        <v>344.8</v>
      </c>
      <c r="D63" s="70">
        <f t="shared" si="11"/>
        <v>344.8</v>
      </c>
      <c r="E63" s="72">
        <f t="shared" si="12"/>
        <v>0</v>
      </c>
      <c r="F63" s="72">
        <v>0</v>
      </c>
      <c r="G63" s="70">
        <f t="shared" si="13"/>
        <v>27.584000000000003</v>
      </c>
      <c r="H63" s="311">
        <v>44663</v>
      </c>
      <c r="I63" s="74">
        <f t="shared" si="16"/>
        <v>44657</v>
      </c>
      <c r="J63" s="324">
        <f t="shared" si="14"/>
        <v>6</v>
      </c>
      <c r="K63" s="391">
        <v>2.86E-2</v>
      </c>
      <c r="L63" s="72">
        <f t="shared" si="15"/>
        <v>0</v>
      </c>
    </row>
    <row r="64" spans="1:12" ht="16.5" customHeight="1" x14ac:dyDescent="0.25">
      <c r="A64" s="313"/>
      <c r="B64" s="73" t="s">
        <v>69</v>
      </c>
      <c r="C64" s="72">
        <v>2.85</v>
      </c>
      <c r="D64" s="70">
        <f t="shared" si="11"/>
        <v>2.85</v>
      </c>
      <c r="E64" s="72">
        <f t="shared" si="12"/>
        <v>0</v>
      </c>
      <c r="F64" s="72">
        <v>0</v>
      </c>
      <c r="G64" s="70">
        <f t="shared" si="13"/>
        <v>0.22800000000000001</v>
      </c>
      <c r="H64" s="76">
        <v>44663</v>
      </c>
      <c r="I64" s="74">
        <f t="shared" si="16"/>
        <v>44657</v>
      </c>
      <c r="J64" s="324">
        <f t="shared" si="14"/>
        <v>6</v>
      </c>
      <c r="K64" s="391">
        <v>2.86E-2</v>
      </c>
      <c r="L64" s="72">
        <f t="shared" si="15"/>
        <v>0</v>
      </c>
    </row>
    <row r="65" spans="1:12" ht="16.5" customHeight="1" x14ac:dyDescent="0.25">
      <c r="A65" s="313"/>
      <c r="B65" s="73" t="s">
        <v>72</v>
      </c>
      <c r="C65" s="72">
        <v>58.79</v>
      </c>
      <c r="D65" s="70">
        <v>0</v>
      </c>
      <c r="E65" s="72">
        <v>58.79</v>
      </c>
      <c r="F65" s="72">
        <v>0</v>
      </c>
      <c r="G65" s="70">
        <f t="shared" si="13"/>
        <v>4.7031999999999998</v>
      </c>
      <c r="H65" s="76"/>
      <c r="I65" s="74">
        <f t="shared" si="16"/>
        <v>44657</v>
      </c>
      <c r="J65" s="324">
        <v>0</v>
      </c>
      <c r="K65" s="391">
        <v>2.86E-2</v>
      </c>
      <c r="L65" s="72">
        <f t="shared" si="15"/>
        <v>1.6813940000000001</v>
      </c>
    </row>
    <row r="66" spans="1:12" ht="16.5" customHeight="1" x14ac:dyDescent="0.25">
      <c r="A66" s="313"/>
      <c r="B66" s="73" t="s">
        <v>73</v>
      </c>
      <c r="C66" s="72">
        <v>917.51</v>
      </c>
      <c r="D66" s="70">
        <f t="shared" si="11"/>
        <v>917.51</v>
      </c>
      <c r="E66" s="72">
        <f t="shared" si="12"/>
        <v>0</v>
      </c>
      <c r="F66" s="72">
        <v>0</v>
      </c>
      <c r="G66" s="70">
        <f t="shared" si="13"/>
        <v>73.400800000000004</v>
      </c>
      <c r="H66" s="311">
        <v>44663</v>
      </c>
      <c r="I66" s="74">
        <f t="shared" si="16"/>
        <v>44657</v>
      </c>
      <c r="J66" s="324">
        <f t="shared" si="14"/>
        <v>6</v>
      </c>
      <c r="K66" s="391">
        <v>2.86E-2</v>
      </c>
      <c r="L66" s="72">
        <f t="shared" si="15"/>
        <v>0</v>
      </c>
    </row>
    <row r="67" spans="1:12" ht="16.5" customHeight="1" x14ac:dyDescent="0.25">
      <c r="A67" s="313"/>
      <c r="B67" s="73" t="s">
        <v>28</v>
      </c>
      <c r="C67" s="72">
        <v>3.33</v>
      </c>
      <c r="D67" s="70">
        <f t="shared" si="11"/>
        <v>3.33</v>
      </c>
      <c r="E67" s="72">
        <f t="shared" si="12"/>
        <v>0</v>
      </c>
      <c r="F67" s="72">
        <v>0</v>
      </c>
      <c r="G67" s="70">
        <f t="shared" si="13"/>
        <v>0.26640000000000003</v>
      </c>
      <c r="H67" s="311">
        <v>44663</v>
      </c>
      <c r="I67" s="74">
        <f t="shared" si="16"/>
        <v>44657</v>
      </c>
      <c r="J67" s="324">
        <f t="shared" si="14"/>
        <v>6</v>
      </c>
      <c r="K67" s="391">
        <v>2.86E-2</v>
      </c>
      <c r="L67" s="72">
        <f t="shared" si="15"/>
        <v>0</v>
      </c>
    </row>
    <row r="68" spans="1:12" ht="16.5" customHeight="1" x14ac:dyDescent="0.25">
      <c r="A68" s="313"/>
      <c r="B68" s="73" t="s">
        <v>74</v>
      </c>
      <c r="C68" s="72">
        <v>3728.28</v>
      </c>
      <c r="D68" s="70">
        <f t="shared" si="11"/>
        <v>3728.28</v>
      </c>
      <c r="E68" s="72">
        <f t="shared" si="12"/>
        <v>0</v>
      </c>
      <c r="F68" s="72">
        <f>'H.A Duração'!AA14</f>
        <v>1333.343834666666</v>
      </c>
      <c r="G68" s="70">
        <f t="shared" si="13"/>
        <v>404.9299067733333</v>
      </c>
      <c r="H68" s="76">
        <v>44663</v>
      </c>
      <c r="I68" s="74">
        <f t="shared" si="16"/>
        <v>44657</v>
      </c>
      <c r="J68" s="324">
        <f t="shared" si="14"/>
        <v>6</v>
      </c>
      <c r="K68" s="391">
        <v>2.86E-2</v>
      </c>
      <c r="L68" s="72">
        <f t="shared" si="15"/>
        <v>38.133633671466647</v>
      </c>
    </row>
    <row r="69" spans="1:12" ht="16.5" customHeight="1" x14ac:dyDescent="0.25">
      <c r="A69" s="313"/>
      <c r="B69" s="73" t="s">
        <v>10</v>
      </c>
      <c r="C69" s="72">
        <v>7.14</v>
      </c>
      <c r="D69" s="70">
        <f t="shared" si="11"/>
        <v>7.14</v>
      </c>
      <c r="E69" s="72">
        <v>0</v>
      </c>
      <c r="F69" s="72">
        <v>0</v>
      </c>
      <c r="G69" s="70">
        <f t="shared" si="13"/>
        <v>0.57120000000000004</v>
      </c>
      <c r="H69" s="311">
        <v>44663</v>
      </c>
      <c r="I69" s="74">
        <f t="shared" si="16"/>
        <v>44657</v>
      </c>
      <c r="J69" s="324">
        <f t="shared" si="14"/>
        <v>6</v>
      </c>
      <c r="K69" s="391">
        <v>2.86E-2</v>
      </c>
      <c r="L69" s="72">
        <f t="shared" si="15"/>
        <v>0</v>
      </c>
    </row>
    <row r="70" spans="1:12" ht="16.5" customHeight="1" x14ac:dyDescent="0.25">
      <c r="A70" s="313"/>
      <c r="B70" s="73" t="s">
        <v>77</v>
      </c>
      <c r="C70" s="72">
        <v>1155.56</v>
      </c>
      <c r="D70" s="70">
        <f t="shared" si="11"/>
        <v>1155.56</v>
      </c>
      <c r="E70" s="72">
        <v>0</v>
      </c>
      <c r="F70" s="72">
        <f>'H.A Duração'!AA15</f>
        <v>499.98816000000022</v>
      </c>
      <c r="G70" s="70">
        <f t="shared" si="13"/>
        <v>132.44385280000003</v>
      </c>
      <c r="H70" s="311">
        <v>44663</v>
      </c>
      <c r="I70" s="74">
        <f t="shared" si="16"/>
        <v>44657</v>
      </c>
      <c r="J70" s="324">
        <f t="shared" si="14"/>
        <v>6</v>
      </c>
      <c r="K70" s="391">
        <v>2.86E-2</v>
      </c>
      <c r="L70" s="72">
        <f t="shared" si="15"/>
        <v>14.299661376000007</v>
      </c>
    </row>
    <row r="71" spans="1:12" ht="16.5" customHeight="1" x14ac:dyDescent="0.25">
      <c r="A71" s="313"/>
      <c r="B71" s="73" t="s">
        <v>78</v>
      </c>
      <c r="C71" s="72">
        <v>1629.47</v>
      </c>
      <c r="D71" s="70">
        <f t="shared" si="11"/>
        <v>1629.47</v>
      </c>
      <c r="E71" s="72">
        <f t="shared" si="12"/>
        <v>0</v>
      </c>
      <c r="F71" s="72">
        <v>0</v>
      </c>
      <c r="G71" s="70">
        <f t="shared" si="13"/>
        <v>130.35759999999999</v>
      </c>
      <c r="H71" s="311">
        <v>44663</v>
      </c>
      <c r="I71" s="74">
        <f t="shared" si="16"/>
        <v>44657</v>
      </c>
      <c r="J71" s="324">
        <f t="shared" si="14"/>
        <v>6</v>
      </c>
      <c r="K71" s="391">
        <v>2.86E-2</v>
      </c>
      <c r="L71" s="72">
        <f t="shared" si="15"/>
        <v>0</v>
      </c>
    </row>
    <row r="72" spans="1:12" ht="16.5" customHeight="1" x14ac:dyDescent="0.25">
      <c r="A72" s="313"/>
      <c r="B72" s="73" t="s">
        <v>12</v>
      </c>
      <c r="C72" s="72">
        <v>4.41</v>
      </c>
      <c r="D72" s="70">
        <f t="shared" si="11"/>
        <v>4.41</v>
      </c>
      <c r="E72" s="72">
        <f t="shared" si="12"/>
        <v>0</v>
      </c>
      <c r="F72" s="72">
        <v>0</v>
      </c>
      <c r="G72" s="70">
        <f t="shared" si="13"/>
        <v>0.3528</v>
      </c>
      <c r="H72" s="311">
        <v>44663</v>
      </c>
      <c r="I72" s="74">
        <f t="shared" si="16"/>
        <v>44657</v>
      </c>
      <c r="J72" s="324">
        <f t="shared" si="14"/>
        <v>6</v>
      </c>
      <c r="K72" s="391">
        <v>2.86E-2</v>
      </c>
      <c r="L72" s="72">
        <f t="shared" si="15"/>
        <v>0</v>
      </c>
    </row>
    <row r="73" spans="1:12" ht="16.5" customHeight="1" x14ac:dyDescent="0.25">
      <c r="A73" s="313"/>
      <c r="B73" s="73" t="s">
        <v>79</v>
      </c>
      <c r="C73" s="72">
        <v>1277.78</v>
      </c>
      <c r="D73" s="70">
        <f t="shared" si="11"/>
        <v>1277.78</v>
      </c>
      <c r="E73" s="72">
        <f t="shared" si="12"/>
        <v>0</v>
      </c>
      <c r="F73" s="72">
        <v>0</v>
      </c>
      <c r="G73" s="70">
        <f t="shared" si="13"/>
        <v>102.22239999999999</v>
      </c>
      <c r="H73" s="311">
        <v>44662</v>
      </c>
      <c r="I73" s="74">
        <f t="shared" si="16"/>
        <v>44657</v>
      </c>
      <c r="J73" s="324">
        <f t="shared" si="14"/>
        <v>5</v>
      </c>
      <c r="K73" s="391">
        <v>2.86E-2</v>
      </c>
      <c r="L73" s="72">
        <f t="shared" si="15"/>
        <v>0</v>
      </c>
    </row>
    <row r="74" spans="1:12" ht="16.5" customHeight="1" x14ac:dyDescent="0.25">
      <c r="A74" s="313"/>
      <c r="B74" s="73" t="s">
        <v>111</v>
      </c>
      <c r="C74" s="72">
        <v>1011.25</v>
      </c>
      <c r="D74" s="70">
        <f t="shared" si="11"/>
        <v>1011.25</v>
      </c>
      <c r="E74" s="72">
        <f t="shared" si="12"/>
        <v>0</v>
      </c>
      <c r="F74" s="72">
        <v>0</v>
      </c>
      <c r="G74" s="70">
        <f t="shared" si="13"/>
        <v>80.900000000000006</v>
      </c>
      <c r="H74" s="311">
        <v>44662</v>
      </c>
      <c r="I74" s="74">
        <f t="shared" si="16"/>
        <v>44657</v>
      </c>
      <c r="J74" s="324">
        <f t="shared" si="14"/>
        <v>5</v>
      </c>
      <c r="K74" s="391">
        <v>2.86E-2</v>
      </c>
      <c r="L74" s="72">
        <f t="shared" si="15"/>
        <v>0</v>
      </c>
    </row>
    <row r="75" spans="1:12" ht="16.5" customHeight="1" x14ac:dyDescent="0.25">
      <c r="A75" s="313"/>
      <c r="B75" s="73" t="s">
        <v>80</v>
      </c>
      <c r="C75" s="72">
        <v>1901.43</v>
      </c>
      <c r="D75" s="70">
        <f t="shared" si="11"/>
        <v>1901.43</v>
      </c>
      <c r="E75" s="72">
        <f t="shared" si="12"/>
        <v>0</v>
      </c>
      <c r="F75" s="72">
        <v>0</v>
      </c>
      <c r="G75" s="70">
        <f t="shared" si="13"/>
        <v>152.11440000000002</v>
      </c>
      <c r="H75" s="311">
        <v>44663</v>
      </c>
      <c r="I75" s="74">
        <f t="shared" si="16"/>
        <v>44657</v>
      </c>
      <c r="J75" s="324">
        <f t="shared" si="14"/>
        <v>6</v>
      </c>
      <c r="K75" s="391">
        <v>2.86E-2</v>
      </c>
      <c r="L75" s="72">
        <f t="shared" si="15"/>
        <v>0</v>
      </c>
    </row>
    <row r="76" spans="1:12" ht="16.5" customHeight="1" x14ac:dyDescent="0.25">
      <c r="A76" s="313"/>
      <c r="B76" s="73" t="s">
        <v>81</v>
      </c>
      <c r="C76" s="72">
        <v>2382.69</v>
      </c>
      <c r="D76" s="70">
        <f t="shared" si="11"/>
        <v>2382.69</v>
      </c>
      <c r="E76" s="72">
        <v>0</v>
      </c>
      <c r="F76" s="72">
        <v>0</v>
      </c>
      <c r="G76" s="70">
        <f t="shared" si="13"/>
        <v>190.61520000000002</v>
      </c>
      <c r="H76" s="311">
        <v>44662</v>
      </c>
      <c r="I76" s="74">
        <f t="shared" si="16"/>
        <v>44657</v>
      </c>
      <c r="J76" s="324">
        <f t="shared" si="14"/>
        <v>5</v>
      </c>
      <c r="K76" s="391">
        <v>2.86E-2</v>
      </c>
      <c r="L76" s="72">
        <f t="shared" si="15"/>
        <v>0</v>
      </c>
    </row>
    <row r="77" spans="1:12" ht="16.5" customHeight="1" x14ac:dyDescent="0.25">
      <c r="A77" s="313"/>
      <c r="B77" s="73" t="s">
        <v>245</v>
      </c>
      <c r="C77" s="72">
        <v>59.32</v>
      </c>
      <c r="D77" s="70">
        <f t="shared" si="11"/>
        <v>59.32</v>
      </c>
      <c r="E77" s="72">
        <f t="shared" si="12"/>
        <v>0</v>
      </c>
      <c r="F77" s="72">
        <v>0</v>
      </c>
      <c r="G77" s="70">
        <f t="shared" si="13"/>
        <v>4.7456000000000005</v>
      </c>
      <c r="H77" s="311">
        <v>44663</v>
      </c>
      <c r="I77" s="74">
        <f t="shared" si="16"/>
        <v>44657</v>
      </c>
      <c r="J77" s="324">
        <f t="shared" si="14"/>
        <v>6</v>
      </c>
      <c r="K77" s="391">
        <v>2.86E-2</v>
      </c>
      <c r="L77" s="72">
        <f t="shared" si="15"/>
        <v>0</v>
      </c>
    </row>
    <row r="78" spans="1:12" ht="16.5" customHeight="1" x14ac:dyDescent="0.25">
      <c r="A78" s="313"/>
      <c r="B78" s="73" t="s">
        <v>112</v>
      </c>
      <c r="C78" s="72">
        <v>6.01</v>
      </c>
      <c r="D78" s="70">
        <f t="shared" si="11"/>
        <v>6.01</v>
      </c>
      <c r="E78" s="72">
        <f t="shared" si="12"/>
        <v>0</v>
      </c>
      <c r="F78" s="72">
        <v>0</v>
      </c>
      <c r="G78" s="70">
        <f t="shared" si="13"/>
        <v>0.48080000000000001</v>
      </c>
      <c r="H78" s="76">
        <v>44663</v>
      </c>
      <c r="I78" s="74">
        <f t="shared" si="16"/>
        <v>44657</v>
      </c>
      <c r="J78" s="324">
        <f t="shared" si="14"/>
        <v>6</v>
      </c>
      <c r="K78" s="391">
        <v>2.86E-2</v>
      </c>
      <c r="L78" s="72">
        <f t="shared" si="15"/>
        <v>0</v>
      </c>
    </row>
    <row r="79" spans="1:12" ht="16.5" customHeight="1" x14ac:dyDescent="0.25">
      <c r="A79" s="313"/>
      <c r="B79" s="73" t="s">
        <v>85</v>
      </c>
      <c r="C79" s="72">
        <v>4.76</v>
      </c>
      <c r="D79" s="70">
        <f t="shared" si="11"/>
        <v>4.76</v>
      </c>
      <c r="E79" s="72">
        <f t="shared" si="12"/>
        <v>0</v>
      </c>
      <c r="F79" s="72">
        <v>0</v>
      </c>
      <c r="G79" s="70">
        <f t="shared" si="13"/>
        <v>0.38079999999999997</v>
      </c>
      <c r="H79" s="311">
        <v>44663</v>
      </c>
      <c r="I79" s="74">
        <f t="shared" si="16"/>
        <v>44657</v>
      </c>
      <c r="J79" s="324">
        <f t="shared" si="14"/>
        <v>6</v>
      </c>
      <c r="K79" s="391">
        <v>2.86E-2</v>
      </c>
      <c r="L79" s="72">
        <f t="shared" si="15"/>
        <v>0</v>
      </c>
    </row>
    <row r="80" spans="1:12" ht="16.5" customHeight="1" x14ac:dyDescent="0.25">
      <c r="A80" s="313"/>
      <c r="B80" s="73" t="s">
        <v>88</v>
      </c>
      <c r="C80" s="72">
        <v>112.94</v>
      </c>
      <c r="D80" s="70">
        <f t="shared" si="11"/>
        <v>112.94</v>
      </c>
      <c r="E80" s="72">
        <v>0</v>
      </c>
      <c r="F80" s="72">
        <v>0</v>
      </c>
      <c r="G80" s="70">
        <f t="shared" si="13"/>
        <v>9.0351999999999997</v>
      </c>
      <c r="H80" s="311">
        <v>44658</v>
      </c>
      <c r="I80" s="74">
        <f t="shared" si="16"/>
        <v>44657</v>
      </c>
      <c r="J80" s="324">
        <f t="shared" si="14"/>
        <v>1</v>
      </c>
      <c r="K80" s="391">
        <v>2.86E-2</v>
      </c>
      <c r="L80" s="72">
        <f t="shared" si="15"/>
        <v>0</v>
      </c>
    </row>
    <row r="81" spans="1:12" ht="16.5" customHeight="1" x14ac:dyDescent="0.25">
      <c r="A81" s="313"/>
      <c r="B81" s="73" t="s">
        <v>89</v>
      </c>
      <c r="C81" s="72">
        <v>58.02</v>
      </c>
      <c r="D81" s="70">
        <f t="shared" si="11"/>
        <v>58.02</v>
      </c>
      <c r="E81" s="72">
        <v>0</v>
      </c>
      <c r="F81" s="72">
        <v>0</v>
      </c>
      <c r="G81" s="70">
        <f t="shared" si="13"/>
        <v>4.6416000000000004</v>
      </c>
      <c r="H81" s="311">
        <v>44663</v>
      </c>
      <c r="I81" s="74">
        <f t="shared" si="16"/>
        <v>44657</v>
      </c>
      <c r="J81" s="324">
        <f t="shared" si="14"/>
        <v>6</v>
      </c>
      <c r="K81" s="391">
        <v>2.86E-2</v>
      </c>
      <c r="L81" s="72">
        <f t="shared" si="15"/>
        <v>0</v>
      </c>
    </row>
    <row r="82" spans="1:12" ht="16.5" customHeight="1" x14ac:dyDescent="0.25">
      <c r="A82" s="313"/>
      <c r="B82" s="73" t="s">
        <v>113</v>
      </c>
      <c r="C82" s="72">
        <v>715.86</v>
      </c>
      <c r="D82" s="70">
        <f t="shared" si="11"/>
        <v>715.86</v>
      </c>
      <c r="E82" s="72">
        <f t="shared" si="12"/>
        <v>0</v>
      </c>
      <c r="F82" s="72">
        <v>0</v>
      </c>
      <c r="G82" s="70">
        <f t="shared" si="13"/>
        <v>57.268799999999999</v>
      </c>
      <c r="H82" s="311">
        <v>44662</v>
      </c>
      <c r="I82" s="74">
        <f t="shared" si="16"/>
        <v>44657</v>
      </c>
      <c r="J82" s="324">
        <f t="shared" si="14"/>
        <v>5</v>
      </c>
      <c r="K82" s="391">
        <v>2.86E-2</v>
      </c>
      <c r="L82" s="72">
        <f t="shared" si="15"/>
        <v>0</v>
      </c>
    </row>
    <row r="83" spans="1:12" ht="16.5" customHeight="1" x14ac:dyDescent="0.25">
      <c r="A83" s="313"/>
      <c r="B83" s="73" t="s">
        <v>90</v>
      </c>
      <c r="C83" s="72">
        <v>5.0999999999999996</v>
      </c>
      <c r="D83" s="70">
        <f t="shared" si="11"/>
        <v>5.0999999999999996</v>
      </c>
      <c r="E83" s="72">
        <f t="shared" si="12"/>
        <v>0</v>
      </c>
      <c r="F83" s="72">
        <v>0</v>
      </c>
      <c r="G83" s="70">
        <f t="shared" si="13"/>
        <v>0.40799999999999997</v>
      </c>
      <c r="H83" s="311">
        <v>44663</v>
      </c>
      <c r="I83" s="74">
        <f t="shared" si="16"/>
        <v>44657</v>
      </c>
      <c r="J83" s="324">
        <f t="shared" si="14"/>
        <v>6</v>
      </c>
      <c r="K83" s="391">
        <v>2.86E-2</v>
      </c>
      <c r="L83" s="72">
        <f t="shared" si="15"/>
        <v>0</v>
      </c>
    </row>
    <row r="84" spans="1:12" ht="16.5" customHeight="1" x14ac:dyDescent="0.25">
      <c r="A84" s="313"/>
      <c r="B84" s="73" t="s">
        <v>93</v>
      </c>
      <c r="C84" s="72">
        <v>56.47</v>
      </c>
      <c r="D84" s="70">
        <f t="shared" si="11"/>
        <v>56.47</v>
      </c>
      <c r="E84" s="72">
        <f t="shared" si="12"/>
        <v>0</v>
      </c>
      <c r="F84" s="72">
        <v>0</v>
      </c>
      <c r="G84" s="70">
        <f t="shared" si="13"/>
        <v>4.5175999999999998</v>
      </c>
      <c r="H84" s="311">
        <v>44663</v>
      </c>
      <c r="I84" s="74">
        <f t="shared" si="16"/>
        <v>44657</v>
      </c>
      <c r="J84" s="324">
        <f t="shared" si="14"/>
        <v>6</v>
      </c>
      <c r="K84" s="391">
        <v>2.86E-2</v>
      </c>
      <c r="L84" s="72">
        <f t="shared" si="15"/>
        <v>0</v>
      </c>
    </row>
    <row r="85" spans="1:12" ht="16.5" customHeight="1" x14ac:dyDescent="0.25">
      <c r="A85" s="313"/>
      <c r="B85" s="73" t="s">
        <v>94</v>
      </c>
      <c r="C85" s="72">
        <v>1426.5</v>
      </c>
      <c r="D85" s="70">
        <f t="shared" si="11"/>
        <v>1426.5</v>
      </c>
      <c r="E85" s="72">
        <f t="shared" si="12"/>
        <v>0</v>
      </c>
      <c r="F85" s="72">
        <f>'H.A Duração'!AA19</f>
        <v>619.09344000000021</v>
      </c>
      <c r="G85" s="70">
        <f t="shared" si="13"/>
        <v>163.6474752</v>
      </c>
      <c r="H85" s="311">
        <v>44663</v>
      </c>
      <c r="I85" s="74">
        <f t="shared" si="16"/>
        <v>44657</v>
      </c>
      <c r="J85" s="324">
        <f t="shared" si="14"/>
        <v>6</v>
      </c>
      <c r="K85" s="391">
        <v>2.86E-2</v>
      </c>
      <c r="L85" s="72">
        <f t="shared" si="15"/>
        <v>17.706072384000006</v>
      </c>
    </row>
    <row r="86" spans="1:12" ht="16.5" customHeight="1" x14ac:dyDescent="0.25">
      <c r="A86" s="313"/>
      <c r="B86" s="73" t="s">
        <v>95</v>
      </c>
      <c r="C86" s="72">
        <v>578.07000000000005</v>
      </c>
      <c r="D86" s="70">
        <f t="shared" si="11"/>
        <v>578.07000000000005</v>
      </c>
      <c r="E86" s="72">
        <f t="shared" si="12"/>
        <v>0</v>
      </c>
      <c r="F86" s="72">
        <f>'H.A Duração'!AA20</f>
        <v>261.10492800000003</v>
      </c>
      <c r="G86" s="70">
        <f t="shared" si="13"/>
        <v>67.133994240000007</v>
      </c>
      <c r="H86" s="311">
        <v>44663</v>
      </c>
      <c r="I86" s="74">
        <f t="shared" si="16"/>
        <v>44657</v>
      </c>
      <c r="J86" s="324">
        <f t="shared" si="14"/>
        <v>6</v>
      </c>
      <c r="K86" s="391">
        <v>2.86E-2</v>
      </c>
      <c r="L86" s="72">
        <f t="shared" si="15"/>
        <v>7.4676009408000006</v>
      </c>
    </row>
    <row r="87" spans="1:12" ht="16.5" customHeight="1" x14ac:dyDescent="0.25">
      <c r="A87" s="313"/>
      <c r="B87" s="73" t="s">
        <v>223</v>
      </c>
      <c r="C87" s="72">
        <v>2.85</v>
      </c>
      <c r="D87" s="70">
        <f t="shared" si="11"/>
        <v>2.85</v>
      </c>
      <c r="E87" s="72">
        <f t="shared" si="12"/>
        <v>0</v>
      </c>
      <c r="F87" s="72">
        <v>0</v>
      </c>
      <c r="G87" s="70">
        <f t="shared" si="13"/>
        <v>0.22800000000000001</v>
      </c>
      <c r="H87" s="311">
        <v>44662</v>
      </c>
      <c r="I87" s="74">
        <f t="shared" si="16"/>
        <v>44657</v>
      </c>
      <c r="J87" s="324">
        <f t="shared" si="14"/>
        <v>5</v>
      </c>
      <c r="K87" s="391">
        <v>2.86E-2</v>
      </c>
      <c r="L87" s="72">
        <f t="shared" si="15"/>
        <v>0</v>
      </c>
    </row>
    <row r="88" spans="1:12" ht="16.5" customHeight="1" x14ac:dyDescent="0.25">
      <c r="A88" s="313"/>
      <c r="B88" s="73" t="s">
        <v>15</v>
      </c>
      <c r="C88" s="72">
        <v>4.41</v>
      </c>
      <c r="D88" s="70">
        <f t="shared" si="11"/>
        <v>4.41</v>
      </c>
      <c r="E88" s="72">
        <f t="shared" si="12"/>
        <v>0</v>
      </c>
      <c r="F88" s="72">
        <v>0</v>
      </c>
      <c r="G88" s="70">
        <f t="shared" si="13"/>
        <v>0.3528</v>
      </c>
      <c r="H88" s="311">
        <v>44663</v>
      </c>
      <c r="I88" s="74">
        <f t="shared" si="16"/>
        <v>44657</v>
      </c>
      <c r="J88" s="324">
        <f t="shared" si="14"/>
        <v>6</v>
      </c>
      <c r="K88" s="391">
        <v>2.86E-2</v>
      </c>
      <c r="L88" s="72">
        <f t="shared" si="15"/>
        <v>0</v>
      </c>
    </row>
    <row r="89" spans="1:12" ht="16.5" customHeight="1" x14ac:dyDescent="0.25">
      <c r="A89" s="313"/>
      <c r="B89" s="73" t="s">
        <v>136</v>
      </c>
      <c r="C89" s="72">
        <v>426.78</v>
      </c>
      <c r="D89" s="70">
        <f t="shared" si="11"/>
        <v>426.78</v>
      </c>
      <c r="E89" s="72">
        <f t="shared" si="12"/>
        <v>0</v>
      </c>
      <c r="F89" s="72">
        <v>0</v>
      </c>
      <c r="G89" s="70">
        <f t="shared" si="13"/>
        <v>34.142399999999995</v>
      </c>
      <c r="H89" s="311">
        <v>44662</v>
      </c>
      <c r="I89" s="74">
        <f>I88</f>
        <v>44657</v>
      </c>
      <c r="J89" s="324">
        <f t="shared" si="14"/>
        <v>5</v>
      </c>
      <c r="K89" s="391">
        <v>2.86E-2</v>
      </c>
      <c r="L89" s="72">
        <f t="shared" si="15"/>
        <v>0</v>
      </c>
    </row>
    <row r="90" spans="1:12" ht="16.5" customHeight="1" x14ac:dyDescent="0.25">
      <c r="A90" s="313"/>
      <c r="B90" s="73" t="s">
        <v>98</v>
      </c>
      <c r="C90" s="72">
        <v>2404.9299999999998</v>
      </c>
      <c r="D90" s="70">
        <f t="shared" si="11"/>
        <v>2404.9299999999998</v>
      </c>
      <c r="E90" s="72">
        <f t="shared" si="12"/>
        <v>0</v>
      </c>
      <c r="F90" s="72">
        <v>0</v>
      </c>
      <c r="G90" s="70">
        <f t="shared" si="13"/>
        <v>192.39439999999999</v>
      </c>
      <c r="H90" s="311">
        <v>44663</v>
      </c>
      <c r="I90" s="74">
        <f>I89</f>
        <v>44657</v>
      </c>
      <c r="J90" s="324">
        <f t="shared" si="14"/>
        <v>6</v>
      </c>
      <c r="K90" s="391">
        <v>2.86E-2</v>
      </c>
      <c r="L90" s="72">
        <f t="shared" si="15"/>
        <v>0</v>
      </c>
    </row>
    <row r="91" spans="1:12" ht="16.5" customHeight="1" x14ac:dyDescent="0.25">
      <c r="A91" s="313"/>
      <c r="B91" s="73" t="s">
        <v>99</v>
      </c>
      <c r="C91" s="72">
        <v>1439.2</v>
      </c>
      <c r="D91" s="70">
        <f t="shared" si="11"/>
        <v>1439.2</v>
      </c>
      <c r="E91" s="72">
        <f t="shared" si="12"/>
        <v>0</v>
      </c>
      <c r="F91" s="72">
        <v>0</v>
      </c>
      <c r="G91" s="70">
        <f t="shared" si="13"/>
        <v>115.13600000000001</v>
      </c>
      <c r="H91" s="311">
        <v>44663</v>
      </c>
      <c r="I91" s="74">
        <f t="shared" si="16"/>
        <v>44657</v>
      </c>
      <c r="J91" s="324">
        <f t="shared" si="14"/>
        <v>6</v>
      </c>
      <c r="K91" s="391">
        <v>2.86E-2</v>
      </c>
      <c r="L91" s="72">
        <f t="shared" si="15"/>
        <v>0</v>
      </c>
    </row>
    <row r="92" spans="1:12" ht="16.5" customHeight="1" x14ac:dyDescent="0.25">
      <c r="A92" s="313"/>
      <c r="B92" s="73" t="s">
        <v>100</v>
      </c>
      <c r="C92" s="72">
        <v>625.91</v>
      </c>
      <c r="D92" s="70">
        <f t="shared" ref="D92:D93" si="17">C92</f>
        <v>625.91</v>
      </c>
      <c r="E92" s="72">
        <f t="shared" ref="E92:E93" si="18">C92-D92</f>
        <v>0</v>
      </c>
      <c r="F92" s="72">
        <v>0</v>
      </c>
      <c r="G92" s="70">
        <f t="shared" si="13"/>
        <v>50.072800000000001</v>
      </c>
      <c r="H92" s="311">
        <v>44663</v>
      </c>
      <c r="I92" s="74">
        <f t="shared" si="16"/>
        <v>44657</v>
      </c>
      <c r="J92" s="324">
        <f t="shared" ref="J92:J93" si="19">H92-I92</f>
        <v>6</v>
      </c>
      <c r="K92" s="391">
        <v>2.86E-2</v>
      </c>
      <c r="L92" s="72">
        <f t="shared" si="15"/>
        <v>0</v>
      </c>
    </row>
    <row r="93" spans="1:12" ht="16.5" customHeight="1" x14ac:dyDescent="0.25">
      <c r="A93" s="313"/>
      <c r="B93" s="73" t="s">
        <v>101</v>
      </c>
      <c r="C93" s="72">
        <v>2.97</v>
      </c>
      <c r="D93" s="70">
        <f t="shared" si="17"/>
        <v>2.97</v>
      </c>
      <c r="E93" s="72">
        <f t="shared" si="18"/>
        <v>0</v>
      </c>
      <c r="F93" s="72">
        <v>0</v>
      </c>
      <c r="G93" s="70">
        <f t="shared" si="13"/>
        <v>0.23760000000000003</v>
      </c>
      <c r="H93" s="311">
        <v>44663</v>
      </c>
      <c r="I93" s="74">
        <f t="shared" ref="I93" si="20">I91</f>
        <v>44657</v>
      </c>
      <c r="J93" s="324">
        <f t="shared" si="19"/>
        <v>6</v>
      </c>
      <c r="K93" s="391">
        <v>2.86E-2</v>
      </c>
      <c r="L93" s="72">
        <f t="shared" si="15"/>
        <v>0</v>
      </c>
    </row>
    <row r="94" spans="1:12" s="65" customFormat="1" ht="17.25" customHeight="1" x14ac:dyDescent="0.25">
      <c r="A94" s="190"/>
      <c r="B94" s="181" t="s">
        <v>162</v>
      </c>
      <c r="C94" s="181">
        <f>SUM(C29:C93)</f>
        <v>40874.140000000007</v>
      </c>
      <c r="D94" s="181">
        <f>SUM(D29:D93)</f>
        <v>40815.350000000006</v>
      </c>
      <c r="E94" s="317">
        <f>SUM(E29:E93)</f>
        <v>58.79</v>
      </c>
      <c r="F94" s="317">
        <f>SUM(F29:F93)</f>
        <v>4227.2109226666662</v>
      </c>
      <c r="G94" s="181">
        <f>SUM(G29:G93)</f>
        <v>3608.1080738133332</v>
      </c>
      <c r="H94" s="182"/>
      <c r="I94" s="182"/>
      <c r="J94" s="182"/>
      <c r="K94" s="245">
        <f>SUM(K29:K93)</f>
        <v>1.8589999999999982</v>
      </c>
      <c r="L94" s="181">
        <f>SUM(L29:L93)</f>
        <v>122.57962638826668</v>
      </c>
    </row>
    <row r="95" spans="1:12" ht="15.75" x14ac:dyDescent="0.25">
      <c r="A95" s="186"/>
      <c r="B95" s="187" t="s">
        <v>103</v>
      </c>
      <c r="C95" s="188">
        <f>SUM(C94+C28+C14)</f>
        <v>93870.52</v>
      </c>
      <c r="D95" s="188">
        <f>D94+D28+D14</f>
        <v>72390.740000000005</v>
      </c>
      <c r="E95" s="188">
        <f>E94+E28+E14</f>
        <v>21479.780000000002</v>
      </c>
      <c r="F95" s="188">
        <f>SUM(F14+F28+F94)</f>
        <v>9844.1100379999989</v>
      </c>
      <c r="G95" s="188">
        <f>G94+G28+G14</f>
        <v>8297.1704030399997</v>
      </c>
      <c r="H95" s="189"/>
      <c r="I95" s="189"/>
      <c r="J95" s="189"/>
      <c r="K95" s="246">
        <f>K94+K28+K14</f>
        <v>1.8589999999999982</v>
      </c>
      <c r="L95" s="189">
        <f>L94+L28+L14</f>
        <v>895.8632550868</v>
      </c>
    </row>
    <row r="97" spans="1:18" x14ac:dyDescent="0.25">
      <c r="B97" s="166"/>
      <c r="C97" s="220"/>
      <c r="D97" s="166"/>
      <c r="E97" s="166"/>
      <c r="F97" s="166"/>
      <c r="G97" s="166"/>
      <c r="H97" s="67"/>
      <c r="I97" s="67"/>
      <c r="J97" s="67"/>
      <c r="K97" s="67"/>
      <c r="L97" s="67"/>
    </row>
    <row r="98" spans="1:18" x14ac:dyDescent="0.25">
      <c r="B98" s="166"/>
      <c r="C98" s="97"/>
      <c r="D98" s="97"/>
      <c r="E98" s="166"/>
      <c r="F98" s="166"/>
      <c r="G98" s="166"/>
    </row>
    <row r="99" spans="1:18" x14ac:dyDescent="0.25">
      <c r="B99" s="166"/>
      <c r="C99" s="97"/>
      <c r="D99" s="97"/>
      <c r="E99" s="166"/>
      <c r="F99" s="166"/>
      <c r="G99" s="166"/>
    </row>
    <row r="100" spans="1:18" x14ac:dyDescent="0.25">
      <c r="B100" s="166"/>
      <c r="C100" s="97"/>
      <c r="D100" s="97"/>
      <c r="E100" s="166"/>
      <c r="F100" s="166"/>
      <c r="G100" s="166"/>
    </row>
    <row r="101" spans="1:18" s="69" customFormat="1" x14ac:dyDescent="0.25">
      <c r="A101" s="60"/>
      <c r="B101" s="60"/>
      <c r="C101" s="97"/>
      <c r="D101" s="97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</row>
    <row r="102" spans="1:18" s="69" customFormat="1" x14ac:dyDescent="0.25">
      <c r="A102" s="60"/>
      <c r="B102" s="60"/>
      <c r="C102" s="97"/>
      <c r="D102" s="97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</row>
  </sheetData>
  <autoFilter ref="A4:L93" xr:uid="{00000000-0009-0000-0000-000000000000}"/>
  <pageMargins left="0.51181102362204722" right="0.51181102362204722" top="0.47244094488188981" bottom="0.47244094488188981" header="0.31496062992125984" footer="0.31496062992125984"/>
  <pageSetup paperSize="9" scale="76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FC372-E8AE-45A3-B8C0-C610B63C7C07}">
  <sheetPr>
    <tabColor rgb="FF00B050"/>
    <pageSetUpPr fitToPage="1"/>
  </sheetPr>
  <dimension ref="A1:S102"/>
  <sheetViews>
    <sheetView showGridLines="0" topLeftCell="B1" workbookViewId="0">
      <selection activeCell="R11" sqref="R11"/>
    </sheetView>
  </sheetViews>
  <sheetFormatPr defaultRowHeight="15" x14ac:dyDescent="0.25"/>
  <cols>
    <col min="1" max="1" width="9.85546875" style="60" customWidth="1"/>
    <col min="2" max="2" width="43.28515625" style="60" customWidth="1"/>
    <col min="3" max="3" width="14.140625" style="59" customWidth="1"/>
    <col min="4" max="4" width="14.42578125" style="69" customWidth="1"/>
    <col min="5" max="5" width="16.7109375" style="69" customWidth="1"/>
    <col min="6" max="6" width="16.28515625" style="69" customWidth="1"/>
    <col min="7" max="7" width="13.5703125" style="69" customWidth="1"/>
    <col min="8" max="8" width="12.28515625" style="60" hidden="1" customWidth="1"/>
    <col min="9" max="9" width="12.85546875" style="60" hidden="1" customWidth="1"/>
    <col min="10" max="10" width="14.28515625" style="60" hidden="1" customWidth="1"/>
    <col min="11" max="11" width="12" style="60" hidden="1" customWidth="1"/>
    <col min="12" max="14" width="16.140625" style="60" hidden="1" customWidth="1"/>
    <col min="15" max="28" width="9.140625" style="60" customWidth="1"/>
    <col min="29" max="16384" width="9.140625" style="60"/>
  </cols>
  <sheetData>
    <row r="1" spans="1:14" ht="17.25" customHeight="1" x14ac:dyDescent="0.25">
      <c r="A1" s="221"/>
      <c r="B1" s="303" t="s">
        <v>141</v>
      </c>
      <c r="C1" s="304"/>
      <c r="D1" s="222"/>
      <c r="E1" s="83"/>
      <c r="F1" s="83"/>
      <c r="G1" s="83"/>
      <c r="H1" s="223"/>
      <c r="I1" s="223"/>
      <c r="J1" s="223"/>
      <c r="K1" s="223"/>
      <c r="L1" s="223"/>
      <c r="M1" s="223"/>
      <c r="N1" s="223"/>
    </row>
    <row r="2" spans="1:14" ht="15.75" x14ac:dyDescent="0.25">
      <c r="A2" s="59"/>
      <c r="B2" s="305" t="s">
        <v>247</v>
      </c>
      <c r="C2" s="306"/>
      <c r="D2" s="58"/>
      <c r="E2" s="58"/>
      <c r="F2" s="58"/>
      <c r="G2" s="58"/>
      <c r="H2" s="59"/>
      <c r="I2" s="59"/>
      <c r="J2" s="59"/>
      <c r="K2" s="59"/>
      <c r="L2" s="59"/>
      <c r="M2" s="59"/>
      <c r="N2" s="59"/>
    </row>
    <row r="3" spans="1:14" ht="15.75" x14ac:dyDescent="0.25">
      <c r="A3" s="224"/>
      <c r="B3" s="307" t="s">
        <v>248</v>
      </c>
      <c r="C3" s="306"/>
      <c r="D3" s="88"/>
      <c r="E3" s="58"/>
      <c r="F3" s="58"/>
      <c r="G3" s="58"/>
      <c r="H3" s="224"/>
      <c r="I3" s="224"/>
      <c r="J3" s="224"/>
      <c r="K3" s="224"/>
      <c r="L3" s="224"/>
      <c r="M3" s="224"/>
      <c r="N3" s="224"/>
    </row>
    <row r="4" spans="1:14" s="217" customFormat="1" ht="30.75" customHeight="1" x14ac:dyDescent="0.25">
      <c r="A4" s="62" t="s">
        <v>143</v>
      </c>
      <c r="B4" s="63" t="s">
        <v>144</v>
      </c>
      <c r="C4" s="460" t="s">
        <v>140</v>
      </c>
      <c r="D4" s="218" t="s">
        <v>145</v>
      </c>
      <c r="E4" s="456" t="s">
        <v>314</v>
      </c>
      <c r="F4" s="459" t="s">
        <v>311</v>
      </c>
      <c r="G4" s="457" t="s">
        <v>212</v>
      </c>
      <c r="H4" s="58" t="s">
        <v>147</v>
      </c>
      <c r="I4" s="310" t="s">
        <v>213</v>
      </c>
      <c r="J4" s="310" t="s">
        <v>214</v>
      </c>
      <c r="K4" s="361" t="s">
        <v>252</v>
      </c>
      <c r="L4" s="70" t="s">
        <v>256</v>
      </c>
      <c r="M4" s="310" t="s">
        <v>214</v>
      </c>
      <c r="N4" s="70" t="s">
        <v>256</v>
      </c>
    </row>
    <row r="5" spans="1:14" s="217" customFormat="1" ht="19.5" customHeight="1" x14ac:dyDescent="0.25">
      <c r="A5" s="62"/>
      <c r="B5" s="63"/>
      <c r="C5" s="461"/>
      <c r="D5" s="218"/>
      <c r="E5" s="458" t="s">
        <v>313</v>
      </c>
      <c r="F5" s="82" t="s">
        <v>312</v>
      </c>
      <c r="G5" s="361"/>
      <c r="H5" s="58"/>
      <c r="I5" s="310"/>
      <c r="J5" s="310"/>
      <c r="K5" s="361"/>
      <c r="L5" s="70"/>
      <c r="M5" s="310"/>
      <c r="N5" s="70"/>
    </row>
    <row r="6" spans="1:14" ht="16.5" customHeight="1" x14ac:dyDescent="0.25">
      <c r="A6" s="176">
        <v>0.65</v>
      </c>
      <c r="B6" s="73" t="s">
        <v>1</v>
      </c>
      <c r="C6" s="408">
        <v>1555.86</v>
      </c>
      <c r="D6" s="70">
        <v>0</v>
      </c>
      <c r="E6" s="408">
        <f>C6-D6</f>
        <v>1555.86</v>
      </c>
      <c r="F6" s="408">
        <f>'H.A Duração'!AC7</f>
        <v>652.22539200000006</v>
      </c>
      <c r="G6" s="408">
        <f>(C6+F6)*8%</f>
        <v>176.64683135999999</v>
      </c>
      <c r="H6" s="76"/>
      <c r="I6" s="76">
        <v>44687</v>
      </c>
      <c r="J6" s="244">
        <v>0</v>
      </c>
      <c r="K6" s="391">
        <v>2.0299999999999999E-2</v>
      </c>
      <c r="L6" s="76">
        <v>44530</v>
      </c>
      <c r="M6" s="76"/>
      <c r="N6" s="72">
        <f>(E6+F6)*K6</f>
        <v>44.824133457599999</v>
      </c>
    </row>
    <row r="7" spans="1:14" ht="16.5" customHeight="1" x14ac:dyDescent="0.25">
      <c r="A7" s="176">
        <v>0.65</v>
      </c>
      <c r="B7" s="73" t="s">
        <v>3</v>
      </c>
      <c r="C7" s="72">
        <v>1740.03</v>
      </c>
      <c r="D7" s="70">
        <f t="shared" ref="D7" si="0">ROUND(C7*A7,2)</f>
        <v>1131.02</v>
      </c>
      <c r="E7" s="72">
        <f t="shared" ref="E7:E13" si="1">C7-D7</f>
        <v>609.01</v>
      </c>
      <c r="F7" s="72">
        <f>'H.A Duração'!AC8</f>
        <v>525.72524666666686</v>
      </c>
      <c r="G7" s="72">
        <f t="shared" ref="G7:G13" si="2">(C7+F7)*8%</f>
        <v>181.26041973333332</v>
      </c>
      <c r="H7" s="76">
        <v>44693</v>
      </c>
      <c r="I7" s="74">
        <f>I6</f>
        <v>44687</v>
      </c>
      <c r="J7" s="244">
        <f t="shared" ref="J7:J8" si="3">H7-I7</f>
        <v>6</v>
      </c>
      <c r="K7" s="391">
        <v>2.0299999999999999E-2</v>
      </c>
      <c r="L7" s="74">
        <f>L6</f>
        <v>44530</v>
      </c>
      <c r="M7" s="74"/>
      <c r="N7" s="72">
        <f t="shared" ref="N7:N13" si="4">(E7+F7)*K7</f>
        <v>23.035125507333337</v>
      </c>
    </row>
    <row r="8" spans="1:14" ht="16.5" customHeight="1" x14ac:dyDescent="0.25">
      <c r="A8" s="176">
        <v>0.65</v>
      </c>
      <c r="B8" s="73" t="s">
        <v>5</v>
      </c>
      <c r="C8" s="72">
        <v>3882.16</v>
      </c>
      <c r="D8" s="70">
        <v>1000</v>
      </c>
      <c r="E8" s="72">
        <f t="shared" si="1"/>
        <v>2882.16</v>
      </c>
      <c r="F8" s="72">
        <v>0</v>
      </c>
      <c r="G8" s="72">
        <f t="shared" si="2"/>
        <v>310.57279999999997</v>
      </c>
      <c r="H8" s="76">
        <v>44693</v>
      </c>
      <c r="I8" s="74">
        <f>I7</f>
        <v>44687</v>
      </c>
      <c r="J8" s="244">
        <f t="shared" si="3"/>
        <v>6</v>
      </c>
      <c r="K8" s="391">
        <v>2.0299999999999999E-2</v>
      </c>
      <c r="L8" s="74">
        <f>L7</f>
        <v>44530</v>
      </c>
      <c r="M8" s="74"/>
      <c r="N8" s="72">
        <f t="shared" si="4"/>
        <v>58.507847999999996</v>
      </c>
    </row>
    <row r="9" spans="1:14" ht="16.5" customHeight="1" x14ac:dyDescent="0.25">
      <c r="A9" s="176">
        <v>0.65</v>
      </c>
      <c r="B9" s="73" t="s">
        <v>8</v>
      </c>
      <c r="C9" s="72">
        <v>3934.13</v>
      </c>
      <c r="D9" s="70">
        <v>0</v>
      </c>
      <c r="E9" s="72">
        <f t="shared" si="1"/>
        <v>3934.13</v>
      </c>
      <c r="F9" s="72">
        <f>'H.A Duração'!AC11</f>
        <v>1913.8700186666663</v>
      </c>
      <c r="G9" s="72">
        <f t="shared" si="2"/>
        <v>467.84000149333332</v>
      </c>
      <c r="H9" s="76"/>
      <c r="I9" s="74">
        <f t="shared" ref="I9:I28" si="5">I8</f>
        <v>44687</v>
      </c>
      <c r="J9" s="244">
        <v>0</v>
      </c>
      <c r="K9" s="391">
        <v>2.0299999999999999E-2</v>
      </c>
      <c r="L9" s="76">
        <f>L8</f>
        <v>44530</v>
      </c>
      <c r="M9" s="76"/>
      <c r="N9" s="72">
        <f t="shared" si="4"/>
        <v>118.71440037893332</v>
      </c>
    </row>
    <row r="10" spans="1:14" ht="16.5" customHeight="1" x14ac:dyDescent="0.25">
      <c r="A10" s="176">
        <v>0.65</v>
      </c>
      <c r="B10" s="73" t="s">
        <v>9</v>
      </c>
      <c r="C10" s="72">
        <v>2108.5</v>
      </c>
      <c r="D10" s="70">
        <v>0</v>
      </c>
      <c r="E10" s="72">
        <f t="shared" si="1"/>
        <v>2108.5</v>
      </c>
      <c r="F10" s="72">
        <v>0</v>
      </c>
      <c r="G10" s="72">
        <f t="shared" si="2"/>
        <v>168.68</v>
      </c>
      <c r="H10" s="76"/>
      <c r="I10" s="74">
        <f t="shared" si="5"/>
        <v>44687</v>
      </c>
      <c r="J10" s="244">
        <v>0</v>
      </c>
      <c r="K10" s="391">
        <v>2.0299999999999999E-2</v>
      </c>
      <c r="L10" s="76">
        <f t="shared" ref="L10:L13" si="6">L9</f>
        <v>44530</v>
      </c>
      <c r="M10" s="76"/>
      <c r="N10" s="72">
        <f t="shared" si="4"/>
        <v>42.802549999999997</v>
      </c>
    </row>
    <row r="11" spans="1:14" ht="16.5" customHeight="1" x14ac:dyDescent="0.25">
      <c r="A11" s="176">
        <v>0.65</v>
      </c>
      <c r="B11" s="73" t="s">
        <v>11</v>
      </c>
      <c r="C11" s="72">
        <v>2746.02</v>
      </c>
      <c r="D11" s="70">
        <v>0</v>
      </c>
      <c r="E11" s="72">
        <f t="shared" si="1"/>
        <v>2746.02</v>
      </c>
      <c r="F11" s="72">
        <v>0</v>
      </c>
      <c r="G11" s="72">
        <f t="shared" si="2"/>
        <v>219.6816</v>
      </c>
      <c r="H11" s="76"/>
      <c r="I11" s="74">
        <f t="shared" si="5"/>
        <v>44687</v>
      </c>
      <c r="J11" s="244">
        <v>0</v>
      </c>
      <c r="K11" s="391">
        <v>2.0299999999999999E-2</v>
      </c>
      <c r="L11" s="76">
        <f t="shared" si="6"/>
        <v>44530</v>
      </c>
      <c r="M11" s="74"/>
      <c r="N11" s="72">
        <f t="shared" si="4"/>
        <v>55.744205999999998</v>
      </c>
    </row>
    <row r="12" spans="1:14" ht="16.5" customHeight="1" x14ac:dyDescent="0.25">
      <c r="A12" s="176">
        <v>0.65</v>
      </c>
      <c r="B12" s="73" t="s">
        <v>13</v>
      </c>
      <c r="C12" s="72">
        <v>986.02</v>
      </c>
      <c r="D12" s="70">
        <v>0</v>
      </c>
      <c r="E12" s="72">
        <f t="shared" si="1"/>
        <v>986.02</v>
      </c>
      <c r="F12" s="72">
        <v>0</v>
      </c>
      <c r="G12" s="72">
        <f t="shared" si="2"/>
        <v>78.881600000000006</v>
      </c>
      <c r="H12" s="76"/>
      <c r="I12" s="74">
        <f t="shared" si="5"/>
        <v>44687</v>
      </c>
      <c r="J12" s="244">
        <v>0</v>
      </c>
      <c r="K12" s="391">
        <v>2.0299999999999999E-2</v>
      </c>
      <c r="L12" s="76">
        <f t="shared" si="6"/>
        <v>44530</v>
      </c>
      <c r="M12" s="74"/>
      <c r="N12" s="72">
        <f t="shared" si="4"/>
        <v>20.016205999999997</v>
      </c>
    </row>
    <row r="13" spans="1:14" ht="16.5" customHeight="1" x14ac:dyDescent="0.25">
      <c r="A13" s="176">
        <v>0.65</v>
      </c>
      <c r="B13" s="73" t="s">
        <v>104</v>
      </c>
      <c r="C13" s="72">
        <v>1494.25</v>
      </c>
      <c r="D13" s="70">
        <v>0</v>
      </c>
      <c r="E13" s="72">
        <f t="shared" si="1"/>
        <v>1494.25</v>
      </c>
      <c r="F13" s="72">
        <f>'H.A Duração'!AC16</f>
        <v>680.09827200000007</v>
      </c>
      <c r="G13" s="72">
        <f t="shared" si="2"/>
        <v>173.94786176000002</v>
      </c>
      <c r="H13" s="76"/>
      <c r="I13" s="74">
        <f t="shared" si="5"/>
        <v>44687</v>
      </c>
      <c r="J13" s="244">
        <v>0</v>
      </c>
      <c r="K13" s="391">
        <v>2.0299999999999999E-2</v>
      </c>
      <c r="L13" s="76">
        <f t="shared" si="6"/>
        <v>44530</v>
      </c>
      <c r="M13" s="76"/>
      <c r="N13" s="72">
        <f t="shared" si="4"/>
        <v>44.139269921600004</v>
      </c>
    </row>
    <row r="14" spans="1:14" ht="16.5" customHeight="1" x14ac:dyDescent="0.25">
      <c r="A14" s="190"/>
      <c r="B14" s="312" t="s">
        <v>156</v>
      </c>
      <c r="C14" s="312">
        <f>SUM(C6:C13)</f>
        <v>18446.97</v>
      </c>
      <c r="D14" s="312">
        <f>SUM(D6:D13)</f>
        <v>2131.02</v>
      </c>
      <c r="E14" s="317">
        <f>SUM(E6:E13)</f>
        <v>16315.95</v>
      </c>
      <c r="F14" s="317">
        <f>SUM(F6:F13)</f>
        <v>3771.9189293333334</v>
      </c>
      <c r="G14" s="181">
        <f>SUM(G6:G13)</f>
        <v>1777.5111143466665</v>
      </c>
      <c r="H14" s="181"/>
      <c r="I14" s="251"/>
      <c r="J14" s="181"/>
      <c r="K14" s="392"/>
      <c r="L14" s="181"/>
      <c r="M14" s="181"/>
      <c r="N14" s="181">
        <f>SUM(N6:N13)</f>
        <v>407.78373926546669</v>
      </c>
    </row>
    <row r="15" spans="1:14" ht="16.5" customHeight="1" x14ac:dyDescent="0.25">
      <c r="A15" s="176">
        <v>0.8</v>
      </c>
      <c r="B15" s="73" t="s">
        <v>19</v>
      </c>
      <c r="C15" s="72">
        <v>2416.5500000000002</v>
      </c>
      <c r="D15" s="70">
        <v>1000</v>
      </c>
      <c r="E15" s="72">
        <f>C15-D15</f>
        <v>1416.5500000000002</v>
      </c>
      <c r="F15" s="72">
        <f>'H.A Duração'!AC4</f>
        <v>1147.7007360000002</v>
      </c>
      <c r="G15" s="72">
        <f>(C15+F15)*8%</f>
        <v>285.14005888000003</v>
      </c>
      <c r="H15" s="76">
        <v>44693</v>
      </c>
      <c r="I15" s="74">
        <f>I13</f>
        <v>44687</v>
      </c>
      <c r="J15" s="232">
        <f>H15-I15</f>
        <v>6</v>
      </c>
      <c r="K15" s="391">
        <v>2.0299999999999999E-2</v>
      </c>
      <c r="L15" s="74">
        <f>L13</f>
        <v>44530</v>
      </c>
      <c r="M15" s="74"/>
      <c r="N15" s="247">
        <f>(E15+F15)*K15</f>
        <v>52.054289940800004</v>
      </c>
    </row>
    <row r="16" spans="1:14" ht="16.5" customHeight="1" x14ac:dyDescent="0.25">
      <c r="A16" s="176">
        <v>0.8</v>
      </c>
      <c r="B16" s="73" t="s">
        <v>20</v>
      </c>
      <c r="C16" s="72">
        <v>1583.95</v>
      </c>
      <c r="D16" s="70">
        <v>0</v>
      </c>
      <c r="E16" s="72">
        <f t="shared" ref="E16:E28" si="7">C16-D16</f>
        <v>1583.95</v>
      </c>
      <c r="F16" s="72">
        <v>0</v>
      </c>
      <c r="G16" s="72">
        <f t="shared" ref="G16:G28" si="8">(C16+F16)*8%</f>
        <v>126.71600000000001</v>
      </c>
      <c r="H16" s="76"/>
      <c r="I16" s="74">
        <f t="shared" si="5"/>
        <v>44687</v>
      </c>
      <c r="J16" s="232">
        <v>0</v>
      </c>
      <c r="K16" s="391">
        <v>2.0299999999999999E-2</v>
      </c>
      <c r="L16" s="74">
        <f>L15</f>
        <v>44530</v>
      </c>
      <c r="M16" s="74"/>
      <c r="N16" s="247">
        <f t="shared" ref="N16:N28" si="9">(E16+F16)*K16</f>
        <v>32.154184999999998</v>
      </c>
    </row>
    <row r="17" spans="1:14" ht="16.5" customHeight="1" x14ac:dyDescent="0.25">
      <c r="A17" s="176">
        <v>0.8</v>
      </c>
      <c r="B17" s="73" t="s">
        <v>21</v>
      </c>
      <c r="C17" s="72">
        <v>2370.4699999999998</v>
      </c>
      <c r="D17" s="70">
        <v>1000</v>
      </c>
      <c r="E17" s="72">
        <f t="shared" si="7"/>
        <v>1370.4699999999998</v>
      </c>
      <c r="F17" s="72">
        <v>0</v>
      </c>
      <c r="G17" s="72">
        <f t="shared" si="8"/>
        <v>189.63759999999999</v>
      </c>
      <c r="H17" s="76">
        <v>44693</v>
      </c>
      <c r="I17" s="74">
        <f t="shared" si="5"/>
        <v>44687</v>
      </c>
      <c r="J17" s="232">
        <f t="shared" ref="J17:J27" si="10">H17-I17</f>
        <v>6</v>
      </c>
      <c r="K17" s="391">
        <v>2.0299999999999999E-2</v>
      </c>
      <c r="L17" s="76">
        <f>L16</f>
        <v>44530</v>
      </c>
      <c r="M17" s="76"/>
      <c r="N17" s="247">
        <f t="shared" si="9"/>
        <v>27.820540999999995</v>
      </c>
    </row>
    <row r="18" spans="1:14" ht="16.5" customHeight="1" x14ac:dyDescent="0.25">
      <c r="A18" s="176"/>
      <c r="B18" s="73" t="s">
        <v>22</v>
      </c>
      <c r="C18" s="72">
        <v>1322.3</v>
      </c>
      <c r="D18" s="70">
        <v>1057.8399999999999</v>
      </c>
      <c r="E18" s="72">
        <f t="shared" ref="E18" si="11">C18-D18</f>
        <v>264.46000000000004</v>
      </c>
      <c r="F18" s="72">
        <v>0</v>
      </c>
      <c r="G18" s="72">
        <f t="shared" si="8"/>
        <v>105.78399999999999</v>
      </c>
      <c r="H18" s="76">
        <v>44693</v>
      </c>
      <c r="I18" s="74">
        <f t="shared" si="5"/>
        <v>44687</v>
      </c>
      <c r="J18" s="232">
        <f t="shared" si="10"/>
        <v>6</v>
      </c>
      <c r="K18" s="391">
        <v>2.0299999999999999E-2</v>
      </c>
      <c r="L18" s="76">
        <f>L17</f>
        <v>44530</v>
      </c>
      <c r="M18" s="76"/>
      <c r="N18" s="247">
        <f t="shared" si="9"/>
        <v>5.368538</v>
      </c>
    </row>
    <row r="19" spans="1:14" ht="16.5" customHeight="1" x14ac:dyDescent="0.25">
      <c r="A19" s="176">
        <v>0.8</v>
      </c>
      <c r="B19" s="73" t="s">
        <v>23</v>
      </c>
      <c r="C19" s="72">
        <v>3232.55</v>
      </c>
      <c r="D19" s="70">
        <v>0</v>
      </c>
      <c r="E19" s="72">
        <f t="shared" si="7"/>
        <v>3232.55</v>
      </c>
      <c r="F19" s="72">
        <v>0</v>
      </c>
      <c r="G19" s="72">
        <f t="shared" si="8"/>
        <v>258.60400000000004</v>
      </c>
      <c r="H19" s="76"/>
      <c r="I19" s="74">
        <f>I17</f>
        <v>44687</v>
      </c>
      <c r="J19" s="232">
        <v>0</v>
      </c>
      <c r="K19" s="391">
        <v>2.0299999999999999E-2</v>
      </c>
      <c r="L19" s="76">
        <f>L17</f>
        <v>44530</v>
      </c>
      <c r="M19" s="76"/>
      <c r="N19" s="247">
        <f t="shared" si="9"/>
        <v>65.620765000000006</v>
      </c>
    </row>
    <row r="20" spans="1:14" ht="16.5" customHeight="1" x14ac:dyDescent="0.25">
      <c r="A20" s="176">
        <v>0.8</v>
      </c>
      <c r="B20" s="73" t="s">
        <v>24</v>
      </c>
      <c r="C20" s="72">
        <v>2539</v>
      </c>
      <c r="D20" s="70">
        <v>0</v>
      </c>
      <c r="E20" s="72">
        <f t="shared" si="7"/>
        <v>2539</v>
      </c>
      <c r="F20" s="72">
        <v>0</v>
      </c>
      <c r="G20" s="72">
        <f t="shared" si="8"/>
        <v>203.12</v>
      </c>
      <c r="H20" s="76"/>
      <c r="I20" s="74">
        <f t="shared" si="5"/>
        <v>44687</v>
      </c>
      <c r="J20" s="232">
        <v>0</v>
      </c>
      <c r="K20" s="391">
        <v>2.0299999999999999E-2</v>
      </c>
      <c r="L20" s="76">
        <f t="shared" ref="L20:L28" si="12">L19</f>
        <v>44530</v>
      </c>
      <c r="M20" s="74"/>
      <c r="N20" s="247">
        <f t="shared" si="9"/>
        <v>51.541699999999999</v>
      </c>
    </row>
    <row r="21" spans="1:14" ht="16.5" customHeight="1" x14ac:dyDescent="0.25">
      <c r="A21" s="176">
        <v>0.8</v>
      </c>
      <c r="B21" s="73" t="s">
        <v>25</v>
      </c>
      <c r="C21" s="72">
        <v>5969.15</v>
      </c>
      <c r="D21" s="70">
        <v>0</v>
      </c>
      <c r="E21" s="72">
        <f t="shared" si="7"/>
        <v>5969.15</v>
      </c>
      <c r="F21" s="72">
        <v>0</v>
      </c>
      <c r="G21" s="72">
        <f t="shared" si="8"/>
        <v>477.53199999999998</v>
      </c>
      <c r="H21" s="76"/>
      <c r="I21" s="74">
        <f t="shared" si="5"/>
        <v>44687</v>
      </c>
      <c r="J21" s="232">
        <v>0</v>
      </c>
      <c r="K21" s="391">
        <v>2.0299999999999999E-2</v>
      </c>
      <c r="L21" s="76">
        <f t="shared" si="12"/>
        <v>44530</v>
      </c>
      <c r="M21" s="74"/>
      <c r="N21" s="247">
        <f t="shared" si="9"/>
        <v>121.17374499999998</v>
      </c>
    </row>
    <row r="22" spans="1:14" ht="16.5" customHeight="1" x14ac:dyDescent="0.25">
      <c r="A22" s="176">
        <v>0.8</v>
      </c>
      <c r="B22" s="73" t="s">
        <v>60</v>
      </c>
      <c r="C22" s="72">
        <v>1265.83</v>
      </c>
      <c r="D22" s="70">
        <v>0</v>
      </c>
      <c r="E22" s="72">
        <f t="shared" si="7"/>
        <v>1265.83</v>
      </c>
      <c r="F22" s="72">
        <v>0</v>
      </c>
      <c r="G22" s="72">
        <f t="shared" si="8"/>
        <v>101.26639999999999</v>
      </c>
      <c r="H22" s="76"/>
      <c r="I22" s="74">
        <f t="shared" si="5"/>
        <v>44687</v>
      </c>
      <c r="J22" s="232">
        <v>0</v>
      </c>
      <c r="K22" s="391">
        <v>2.0299999999999999E-2</v>
      </c>
      <c r="L22" s="76">
        <f t="shared" si="12"/>
        <v>44530</v>
      </c>
      <c r="M22" s="74"/>
      <c r="N22" s="247">
        <f t="shared" si="9"/>
        <v>25.696348999999998</v>
      </c>
    </row>
    <row r="23" spans="1:14" ht="16.5" customHeight="1" x14ac:dyDescent="0.25">
      <c r="A23" s="176">
        <v>0.8</v>
      </c>
      <c r="B23" s="73" t="s">
        <v>26</v>
      </c>
      <c r="C23" s="72">
        <v>1660.43</v>
      </c>
      <c r="D23" s="70">
        <v>0</v>
      </c>
      <c r="E23" s="72">
        <f t="shared" si="7"/>
        <v>1660.43</v>
      </c>
      <c r="F23" s="72">
        <f>'H.A Duração'!AC10</f>
        <v>203.94192000000044</v>
      </c>
      <c r="G23" s="72">
        <f t="shared" si="8"/>
        <v>149.14975360000005</v>
      </c>
      <c r="H23" s="76"/>
      <c r="I23" s="74">
        <f t="shared" si="5"/>
        <v>44687</v>
      </c>
      <c r="J23" s="232">
        <v>0</v>
      </c>
      <c r="K23" s="391">
        <v>2.0299999999999999E-2</v>
      </c>
      <c r="L23" s="76">
        <f t="shared" si="12"/>
        <v>44530</v>
      </c>
      <c r="M23" s="74"/>
      <c r="N23" s="247">
        <f t="shared" si="9"/>
        <v>37.846749976000005</v>
      </c>
    </row>
    <row r="24" spans="1:14" ht="16.5" customHeight="1" x14ac:dyDescent="0.25">
      <c r="A24" s="176">
        <v>0.8</v>
      </c>
      <c r="B24" s="73" t="s">
        <v>27</v>
      </c>
      <c r="C24" s="72">
        <v>565.45000000000005</v>
      </c>
      <c r="D24" s="70">
        <v>0</v>
      </c>
      <c r="E24" s="72">
        <f t="shared" si="7"/>
        <v>565.45000000000005</v>
      </c>
      <c r="F24" s="72">
        <f>'H.A Duração'!AC12</f>
        <v>197.9913600000001</v>
      </c>
      <c r="G24" s="72">
        <f t="shared" si="8"/>
        <v>61.075308800000016</v>
      </c>
      <c r="H24" s="76"/>
      <c r="I24" s="74">
        <f t="shared" si="5"/>
        <v>44687</v>
      </c>
      <c r="J24" s="232">
        <v>0</v>
      </c>
      <c r="K24" s="391">
        <v>2.0299999999999999E-2</v>
      </c>
      <c r="L24" s="76">
        <f t="shared" si="12"/>
        <v>44530</v>
      </c>
      <c r="M24" s="74"/>
      <c r="N24" s="247">
        <f t="shared" si="9"/>
        <v>15.497859608000002</v>
      </c>
    </row>
    <row r="25" spans="1:14" ht="16.5" customHeight="1" x14ac:dyDescent="0.25">
      <c r="A25" s="176">
        <v>0.8</v>
      </c>
      <c r="B25" s="73" t="s">
        <v>29</v>
      </c>
      <c r="C25" s="72">
        <v>2034.03</v>
      </c>
      <c r="D25" s="70">
        <v>0</v>
      </c>
      <c r="E25" s="72">
        <f t="shared" si="7"/>
        <v>2034.03</v>
      </c>
      <c r="F25" s="72">
        <v>0</v>
      </c>
      <c r="G25" s="72">
        <f t="shared" si="8"/>
        <v>162.72239999999999</v>
      </c>
      <c r="H25" s="76"/>
      <c r="I25" s="74">
        <f t="shared" si="5"/>
        <v>44687</v>
      </c>
      <c r="J25" s="232">
        <v>0</v>
      </c>
      <c r="K25" s="391">
        <v>2.0299999999999999E-2</v>
      </c>
      <c r="L25" s="76">
        <f t="shared" si="12"/>
        <v>44530</v>
      </c>
      <c r="M25" s="74"/>
      <c r="N25" s="247">
        <f t="shared" si="9"/>
        <v>41.290808999999996</v>
      </c>
    </row>
    <row r="26" spans="1:14" ht="16.5" customHeight="1" x14ac:dyDescent="0.25">
      <c r="A26" s="176">
        <v>0.8</v>
      </c>
      <c r="B26" s="73" t="s">
        <v>30</v>
      </c>
      <c r="C26" s="72">
        <v>1974.55</v>
      </c>
      <c r="D26" s="70">
        <v>1000</v>
      </c>
      <c r="E26" s="72">
        <f t="shared" si="7"/>
        <v>974.55</v>
      </c>
      <c r="F26" s="72">
        <v>0</v>
      </c>
      <c r="G26" s="72">
        <f t="shared" si="8"/>
        <v>157.964</v>
      </c>
      <c r="H26" s="76">
        <v>44693</v>
      </c>
      <c r="I26" s="74">
        <f t="shared" si="5"/>
        <v>44687</v>
      </c>
      <c r="J26" s="232">
        <f t="shared" si="10"/>
        <v>6</v>
      </c>
      <c r="K26" s="391">
        <v>2.0299999999999999E-2</v>
      </c>
      <c r="L26" s="76">
        <f t="shared" si="12"/>
        <v>44530</v>
      </c>
      <c r="M26" s="74"/>
      <c r="N26" s="247">
        <f t="shared" si="9"/>
        <v>19.783364999999996</v>
      </c>
    </row>
    <row r="27" spans="1:14" ht="16.5" customHeight="1" x14ac:dyDescent="0.25">
      <c r="A27" s="176">
        <v>0.8</v>
      </c>
      <c r="B27" s="73" t="s">
        <v>31</v>
      </c>
      <c r="C27" s="72">
        <v>739.66</v>
      </c>
      <c r="D27" s="70">
        <f t="shared" ref="D27" si="13">ROUND(C27*A27,2)</f>
        <v>591.73</v>
      </c>
      <c r="E27" s="72">
        <f t="shared" si="7"/>
        <v>147.92999999999995</v>
      </c>
      <c r="F27" s="72">
        <f>'H.A Duração'!AC17</f>
        <v>1016.355648</v>
      </c>
      <c r="G27" s="72">
        <f t="shared" si="8"/>
        <v>140.48125184</v>
      </c>
      <c r="H27" s="76">
        <v>44691</v>
      </c>
      <c r="I27" s="74">
        <f t="shared" si="5"/>
        <v>44687</v>
      </c>
      <c r="J27" s="232">
        <f t="shared" si="10"/>
        <v>4</v>
      </c>
      <c r="K27" s="391">
        <v>2.0299999999999999E-2</v>
      </c>
      <c r="L27" s="76">
        <f t="shared" si="12"/>
        <v>44530</v>
      </c>
      <c r="M27" s="74"/>
      <c r="N27" s="247">
        <f t="shared" si="9"/>
        <v>23.6349986544</v>
      </c>
    </row>
    <row r="28" spans="1:14" ht="16.5" customHeight="1" x14ac:dyDescent="0.25">
      <c r="A28" s="176">
        <v>0.8</v>
      </c>
      <c r="B28" s="73" t="s">
        <v>32</v>
      </c>
      <c r="C28" s="72">
        <v>1318.35</v>
      </c>
      <c r="D28" s="70">
        <v>0</v>
      </c>
      <c r="E28" s="72">
        <f t="shared" si="7"/>
        <v>1318.35</v>
      </c>
      <c r="F28" s="72">
        <f>'H.A Duração'!AC18</f>
        <v>19.690944000000083</v>
      </c>
      <c r="G28" s="72">
        <f t="shared" si="8"/>
        <v>107.04327552000001</v>
      </c>
      <c r="H28" s="76"/>
      <c r="I28" s="74">
        <f t="shared" si="5"/>
        <v>44687</v>
      </c>
      <c r="J28" s="232">
        <v>0</v>
      </c>
      <c r="K28" s="391">
        <v>2.0299999999999999E-2</v>
      </c>
      <c r="L28" s="76">
        <f t="shared" si="12"/>
        <v>44530</v>
      </c>
      <c r="M28" s="74"/>
      <c r="N28" s="247">
        <f t="shared" si="9"/>
        <v>27.162231163200001</v>
      </c>
    </row>
    <row r="29" spans="1:14" ht="16.5" customHeight="1" x14ac:dyDescent="0.25">
      <c r="A29" s="190"/>
      <c r="B29" s="314" t="s">
        <v>160</v>
      </c>
      <c r="C29" s="314">
        <f>SUM(C15:C28)</f>
        <v>28992.27</v>
      </c>
      <c r="D29" s="314">
        <f>SUM(D15:D28)</f>
        <v>4649.57</v>
      </c>
      <c r="E29" s="327">
        <f>SUM(E15:E28)</f>
        <v>24342.699999999997</v>
      </c>
      <c r="F29" s="454">
        <f>SUM(F15:F28)</f>
        <v>2585.6806080000006</v>
      </c>
      <c r="G29" s="314">
        <f>SUM(G15:G28)</f>
        <v>2526.2360486399998</v>
      </c>
      <c r="H29" s="227"/>
      <c r="I29" s="323"/>
      <c r="J29" s="315"/>
      <c r="K29" s="391"/>
      <c r="L29" s="315"/>
      <c r="M29" s="315"/>
      <c r="N29" s="315">
        <f>SUM(N15:N28)</f>
        <v>546.64612634239995</v>
      </c>
    </row>
    <row r="30" spans="1:14" ht="16.5" customHeight="1" x14ac:dyDescent="0.25">
      <c r="A30" s="313"/>
      <c r="B30" s="73" t="s">
        <v>33</v>
      </c>
      <c r="C30" s="72">
        <v>2347.1999999999998</v>
      </c>
      <c r="D30" s="70">
        <v>0</v>
      </c>
      <c r="E30" s="72">
        <f>C30-D30</f>
        <v>2347.1999999999998</v>
      </c>
      <c r="F30" s="72">
        <v>0</v>
      </c>
      <c r="G30" s="70">
        <f>(C30+F30)*8%</f>
        <v>187.77599999999998</v>
      </c>
      <c r="H30" s="76"/>
      <c r="I30" s="74">
        <f>I28</f>
        <v>44687</v>
      </c>
      <c r="J30" s="324">
        <v>0</v>
      </c>
      <c r="K30" s="391">
        <v>2.0299999999999999E-2</v>
      </c>
      <c r="L30" s="316"/>
      <c r="M30" s="316"/>
      <c r="N30" s="316">
        <f>(E30+F30)*K30</f>
        <v>47.64815999999999</v>
      </c>
    </row>
    <row r="31" spans="1:14" ht="16.5" customHeight="1" x14ac:dyDescent="0.25">
      <c r="A31" s="313"/>
      <c r="B31" s="73" t="s">
        <v>34</v>
      </c>
      <c r="C31" s="72">
        <v>1898.75</v>
      </c>
      <c r="D31" s="70">
        <v>0</v>
      </c>
      <c r="E31" s="72">
        <f t="shared" ref="E31:E93" si="14">C31-D31</f>
        <v>1898.75</v>
      </c>
      <c r="F31" s="72">
        <v>0</v>
      </c>
      <c r="G31" s="70">
        <f t="shared" ref="G31:G93" si="15">(C31+F31)*8%</f>
        <v>151.9</v>
      </c>
      <c r="H31" s="76"/>
      <c r="I31" s="74">
        <f>I30</f>
        <v>44687</v>
      </c>
      <c r="J31" s="324">
        <v>0</v>
      </c>
      <c r="K31" s="391">
        <v>2.0299999999999999E-2</v>
      </c>
      <c r="L31" s="316"/>
      <c r="M31" s="316"/>
      <c r="N31" s="316">
        <f t="shared" ref="N31:N93" si="16">(E31+F31)*K31</f>
        <v>38.544624999999996</v>
      </c>
    </row>
    <row r="32" spans="1:14" ht="16.5" customHeight="1" x14ac:dyDescent="0.25">
      <c r="A32" s="313"/>
      <c r="B32" s="73" t="s">
        <v>35</v>
      </c>
      <c r="C32" s="72">
        <v>112.94</v>
      </c>
      <c r="D32" s="70">
        <f t="shared" ref="D32:D93" si="17">C32</f>
        <v>112.94</v>
      </c>
      <c r="E32" s="72">
        <f t="shared" si="14"/>
        <v>0</v>
      </c>
      <c r="F32" s="72">
        <v>0</v>
      </c>
      <c r="G32" s="70">
        <f t="shared" si="15"/>
        <v>9.0351999999999997</v>
      </c>
      <c r="H32" s="76">
        <v>44694</v>
      </c>
      <c r="I32" s="74">
        <f t="shared" ref="I32:I93" si="18">I30</f>
        <v>44687</v>
      </c>
      <c r="J32" s="324">
        <f t="shared" ref="J32:J93" si="19">H32-I32</f>
        <v>7</v>
      </c>
      <c r="K32" s="391">
        <v>2.0299999999999999E-2</v>
      </c>
      <c r="L32" s="316"/>
      <c r="M32" s="316"/>
      <c r="N32" s="316">
        <f t="shared" si="16"/>
        <v>0</v>
      </c>
    </row>
    <row r="33" spans="1:14" ht="16.5" customHeight="1" x14ac:dyDescent="0.25">
      <c r="A33" s="313"/>
      <c r="B33" s="73" t="s">
        <v>219</v>
      </c>
      <c r="C33" s="72">
        <v>489.71</v>
      </c>
      <c r="D33" s="70">
        <f t="shared" si="17"/>
        <v>489.71</v>
      </c>
      <c r="E33" s="72">
        <f t="shared" si="14"/>
        <v>0</v>
      </c>
      <c r="F33" s="72">
        <v>0</v>
      </c>
      <c r="G33" s="70">
        <f t="shared" si="15"/>
        <v>39.1768</v>
      </c>
      <c r="H33" s="76">
        <v>44691</v>
      </c>
      <c r="I33" s="74">
        <f t="shared" si="18"/>
        <v>44687</v>
      </c>
      <c r="J33" s="324">
        <f t="shared" si="19"/>
        <v>4</v>
      </c>
      <c r="K33" s="391">
        <v>2.0299999999999999E-2</v>
      </c>
      <c r="L33" s="316"/>
      <c r="M33" s="316"/>
      <c r="N33" s="316">
        <f t="shared" si="16"/>
        <v>0</v>
      </c>
    </row>
    <row r="34" spans="1:14" ht="16.5" customHeight="1" x14ac:dyDescent="0.25">
      <c r="A34" s="313"/>
      <c r="B34" s="73" t="s">
        <v>37</v>
      </c>
      <c r="C34" s="72">
        <v>770.76</v>
      </c>
      <c r="D34" s="70">
        <f t="shared" si="17"/>
        <v>770.76</v>
      </c>
      <c r="E34" s="72">
        <f t="shared" si="14"/>
        <v>0</v>
      </c>
      <c r="F34" s="72">
        <v>0</v>
      </c>
      <c r="G34" s="70">
        <f t="shared" si="15"/>
        <v>61.660800000000002</v>
      </c>
      <c r="H34" s="76">
        <v>44698</v>
      </c>
      <c r="I34" s="74">
        <f t="shared" si="18"/>
        <v>44687</v>
      </c>
      <c r="J34" s="324">
        <f t="shared" si="19"/>
        <v>11</v>
      </c>
      <c r="K34" s="391">
        <v>2.0299999999999999E-2</v>
      </c>
      <c r="L34" s="316"/>
      <c r="M34" s="316"/>
      <c r="N34" s="316">
        <f t="shared" si="16"/>
        <v>0</v>
      </c>
    </row>
    <row r="35" spans="1:14" ht="16.5" customHeight="1" x14ac:dyDescent="0.25">
      <c r="A35" s="313"/>
      <c r="B35" s="73" t="s">
        <v>105</v>
      </c>
      <c r="C35" s="72">
        <v>595.67999999999995</v>
      </c>
      <c r="D35" s="70">
        <f t="shared" si="17"/>
        <v>595.67999999999995</v>
      </c>
      <c r="E35" s="72">
        <f t="shared" si="14"/>
        <v>0</v>
      </c>
      <c r="F35" s="72">
        <v>0</v>
      </c>
      <c r="G35" s="70">
        <f t="shared" si="15"/>
        <v>47.654399999999995</v>
      </c>
      <c r="H35" s="76">
        <v>44691</v>
      </c>
      <c r="I35" s="74">
        <f t="shared" si="18"/>
        <v>44687</v>
      </c>
      <c r="J35" s="324">
        <f t="shared" si="19"/>
        <v>4</v>
      </c>
      <c r="K35" s="391">
        <v>2.0299999999999999E-2</v>
      </c>
      <c r="L35" s="316"/>
      <c r="M35" s="316"/>
      <c r="N35" s="316">
        <f t="shared" si="16"/>
        <v>0</v>
      </c>
    </row>
    <row r="36" spans="1:14" ht="16.5" customHeight="1" x14ac:dyDescent="0.25">
      <c r="A36" s="313"/>
      <c r="B36" s="73" t="s">
        <v>38</v>
      </c>
      <c r="C36" s="72">
        <v>2113.88</v>
      </c>
      <c r="D36" s="70">
        <v>1100</v>
      </c>
      <c r="E36" s="72">
        <f t="shared" si="14"/>
        <v>1013.8800000000001</v>
      </c>
      <c r="F36" s="72">
        <f>'H.A Duração'!AC5</f>
        <v>942.39779199999975</v>
      </c>
      <c r="G36" s="70">
        <f t="shared" si="15"/>
        <v>244.50222335999999</v>
      </c>
      <c r="H36" s="76">
        <v>44693</v>
      </c>
      <c r="I36" s="74">
        <f t="shared" si="18"/>
        <v>44687</v>
      </c>
      <c r="J36" s="324">
        <f t="shared" si="19"/>
        <v>6</v>
      </c>
      <c r="K36" s="391">
        <v>2.0299999999999999E-2</v>
      </c>
      <c r="L36" s="316"/>
      <c r="M36" s="316"/>
      <c r="N36" s="316">
        <f t="shared" si="16"/>
        <v>39.712439177599997</v>
      </c>
    </row>
    <row r="37" spans="1:14" ht="16.5" customHeight="1" x14ac:dyDescent="0.25">
      <c r="A37" s="313"/>
      <c r="B37" s="73" t="s">
        <v>39</v>
      </c>
      <c r="C37" s="72">
        <v>3.73</v>
      </c>
      <c r="D37" s="70">
        <f t="shared" si="17"/>
        <v>3.73</v>
      </c>
      <c r="E37" s="72">
        <f t="shared" si="14"/>
        <v>0</v>
      </c>
      <c r="F37" s="72">
        <v>0</v>
      </c>
      <c r="G37" s="70">
        <f t="shared" si="15"/>
        <v>0.2984</v>
      </c>
      <c r="H37" s="76">
        <v>44694</v>
      </c>
      <c r="I37" s="74">
        <f t="shared" si="18"/>
        <v>44687</v>
      </c>
      <c r="J37" s="324">
        <f t="shared" si="19"/>
        <v>7</v>
      </c>
      <c r="K37" s="391">
        <v>2.0299999999999999E-2</v>
      </c>
      <c r="L37" s="316"/>
      <c r="M37" s="316"/>
      <c r="N37" s="316">
        <f t="shared" si="16"/>
        <v>0</v>
      </c>
    </row>
    <row r="38" spans="1:14" ht="16.5" customHeight="1" x14ac:dyDescent="0.25">
      <c r="A38" s="313"/>
      <c r="B38" s="73" t="s">
        <v>40</v>
      </c>
      <c r="C38" s="72">
        <v>10.11</v>
      </c>
      <c r="D38" s="70">
        <f t="shared" si="17"/>
        <v>10.11</v>
      </c>
      <c r="E38" s="72">
        <f t="shared" si="14"/>
        <v>0</v>
      </c>
      <c r="F38" s="72">
        <v>0</v>
      </c>
      <c r="G38" s="70">
        <f t="shared" si="15"/>
        <v>0.80879999999999996</v>
      </c>
      <c r="H38" s="76">
        <v>44694</v>
      </c>
      <c r="I38" s="74">
        <f t="shared" si="18"/>
        <v>44687</v>
      </c>
      <c r="J38" s="324">
        <f t="shared" si="19"/>
        <v>7</v>
      </c>
      <c r="K38" s="391">
        <v>2.0299999999999999E-2</v>
      </c>
      <c r="L38" s="316"/>
      <c r="M38" s="316"/>
      <c r="N38" s="316">
        <f t="shared" si="16"/>
        <v>0</v>
      </c>
    </row>
    <row r="39" spans="1:14" ht="16.5" customHeight="1" x14ac:dyDescent="0.25">
      <c r="A39" s="313"/>
      <c r="B39" s="73" t="s">
        <v>41</v>
      </c>
      <c r="C39" s="72">
        <v>1547.99</v>
      </c>
      <c r="D39" s="70">
        <v>0</v>
      </c>
      <c r="E39" s="72">
        <f t="shared" si="14"/>
        <v>1547.99</v>
      </c>
      <c r="F39" s="72">
        <v>0</v>
      </c>
      <c r="G39" s="70">
        <f t="shared" si="15"/>
        <v>123.83920000000001</v>
      </c>
      <c r="H39" s="76"/>
      <c r="I39" s="74">
        <f t="shared" si="18"/>
        <v>44687</v>
      </c>
      <c r="J39" s="324">
        <v>0</v>
      </c>
      <c r="K39" s="391">
        <v>2.0299999999999999E-2</v>
      </c>
      <c r="L39" s="316"/>
      <c r="M39" s="316"/>
      <c r="N39" s="316">
        <f t="shared" si="16"/>
        <v>31.424196999999999</v>
      </c>
    </row>
    <row r="40" spans="1:14" ht="16.5" customHeight="1" x14ac:dyDescent="0.25">
      <c r="A40" s="313"/>
      <c r="B40" s="73" t="s">
        <v>42</v>
      </c>
      <c r="C40" s="72">
        <v>770.73</v>
      </c>
      <c r="D40" s="70">
        <v>0</v>
      </c>
      <c r="E40" s="72">
        <f t="shared" si="14"/>
        <v>770.73</v>
      </c>
      <c r="F40" s="72">
        <f>'H.A Duração'!AC6</f>
        <v>120.36752000000007</v>
      </c>
      <c r="G40" s="70">
        <f t="shared" si="15"/>
        <v>71.287801600000009</v>
      </c>
      <c r="H40" s="76"/>
      <c r="I40" s="74">
        <f t="shared" si="18"/>
        <v>44687</v>
      </c>
      <c r="J40" s="324">
        <v>0</v>
      </c>
      <c r="K40" s="391">
        <v>2.0299999999999999E-2</v>
      </c>
      <c r="L40" s="316"/>
      <c r="M40" s="316"/>
      <c r="N40" s="316">
        <f t="shared" si="16"/>
        <v>18.089279655999999</v>
      </c>
    </row>
    <row r="41" spans="1:14" ht="16.5" customHeight="1" x14ac:dyDescent="0.25">
      <c r="A41" s="313"/>
      <c r="B41" s="73" t="s">
        <v>43</v>
      </c>
      <c r="C41" s="72">
        <v>56.47</v>
      </c>
      <c r="D41" s="70">
        <f t="shared" si="17"/>
        <v>56.47</v>
      </c>
      <c r="E41" s="72">
        <f t="shared" si="14"/>
        <v>0</v>
      </c>
      <c r="F41" s="72">
        <v>0</v>
      </c>
      <c r="G41" s="70">
        <f t="shared" si="15"/>
        <v>4.5175999999999998</v>
      </c>
      <c r="H41" s="74">
        <v>44687</v>
      </c>
      <c r="I41" s="74">
        <f t="shared" si="18"/>
        <v>44687</v>
      </c>
      <c r="J41" s="324">
        <f t="shared" si="19"/>
        <v>0</v>
      </c>
      <c r="K41" s="391">
        <v>2.0299999999999999E-2</v>
      </c>
      <c r="L41" s="316"/>
      <c r="M41" s="316"/>
      <c r="N41" s="316">
        <f t="shared" si="16"/>
        <v>0</v>
      </c>
    </row>
    <row r="42" spans="1:14" ht="16.5" customHeight="1" x14ac:dyDescent="0.25">
      <c r="A42" s="313"/>
      <c r="B42" s="73" t="s">
        <v>44</v>
      </c>
      <c r="C42" s="72">
        <v>3.38</v>
      </c>
      <c r="D42" s="70">
        <f t="shared" si="17"/>
        <v>3.38</v>
      </c>
      <c r="E42" s="72">
        <f t="shared" si="14"/>
        <v>0</v>
      </c>
      <c r="F42" s="72">
        <v>0</v>
      </c>
      <c r="G42" s="70">
        <f t="shared" si="15"/>
        <v>0.27039999999999997</v>
      </c>
      <c r="H42" s="76">
        <v>44694</v>
      </c>
      <c r="I42" s="74">
        <f t="shared" si="18"/>
        <v>44687</v>
      </c>
      <c r="J42" s="324">
        <f t="shared" si="19"/>
        <v>7</v>
      </c>
      <c r="K42" s="391">
        <v>2.0299999999999999E-2</v>
      </c>
      <c r="L42" s="316"/>
      <c r="M42" s="316"/>
      <c r="N42" s="316">
        <f t="shared" si="16"/>
        <v>0</v>
      </c>
    </row>
    <row r="43" spans="1:14" ht="16.5" customHeight="1" x14ac:dyDescent="0.25">
      <c r="A43" s="313"/>
      <c r="B43" s="73" t="s">
        <v>241</v>
      </c>
      <c r="C43" s="72">
        <v>546.17999999999995</v>
      </c>
      <c r="D43" s="70">
        <f t="shared" si="17"/>
        <v>546.17999999999995</v>
      </c>
      <c r="E43" s="72">
        <f t="shared" si="14"/>
        <v>0</v>
      </c>
      <c r="F43" s="72">
        <v>0</v>
      </c>
      <c r="G43" s="70">
        <f t="shared" si="15"/>
        <v>43.694399999999995</v>
      </c>
      <c r="H43" s="76">
        <v>44691</v>
      </c>
      <c r="I43" s="74">
        <f t="shared" si="18"/>
        <v>44687</v>
      </c>
      <c r="J43" s="324">
        <f t="shared" si="19"/>
        <v>4</v>
      </c>
      <c r="K43" s="391">
        <v>2.0299999999999999E-2</v>
      </c>
      <c r="L43" s="316"/>
      <c r="M43" s="316"/>
      <c r="N43" s="316">
        <f t="shared" si="16"/>
        <v>0</v>
      </c>
    </row>
    <row r="44" spans="1:14" ht="16.5" customHeight="1" x14ac:dyDescent="0.25">
      <c r="A44" s="313"/>
      <c r="B44" s="73" t="s">
        <v>46</v>
      </c>
      <c r="C44" s="72">
        <v>3.73</v>
      </c>
      <c r="D44" s="70">
        <f t="shared" si="17"/>
        <v>3.73</v>
      </c>
      <c r="E44" s="72">
        <f t="shared" si="14"/>
        <v>0</v>
      </c>
      <c r="F44" s="72">
        <v>0</v>
      </c>
      <c r="G44" s="70">
        <f t="shared" si="15"/>
        <v>0.2984</v>
      </c>
      <c r="H44" s="76">
        <v>44694</v>
      </c>
      <c r="I44" s="74">
        <f t="shared" si="18"/>
        <v>44687</v>
      </c>
      <c r="J44" s="324">
        <f t="shared" si="19"/>
        <v>7</v>
      </c>
      <c r="K44" s="391">
        <v>2.0299999999999999E-2</v>
      </c>
      <c r="L44" s="316"/>
      <c r="M44" s="316"/>
      <c r="N44" s="316">
        <f t="shared" si="16"/>
        <v>0</v>
      </c>
    </row>
    <row r="45" spans="1:14" ht="16.5" customHeight="1" x14ac:dyDescent="0.25">
      <c r="A45" s="313"/>
      <c r="B45" s="73" t="s">
        <v>47</v>
      </c>
      <c r="C45" s="72">
        <v>6.9</v>
      </c>
      <c r="D45" s="70">
        <f t="shared" si="17"/>
        <v>6.9</v>
      </c>
      <c r="E45" s="72">
        <f t="shared" si="14"/>
        <v>0</v>
      </c>
      <c r="F45" s="72">
        <v>0</v>
      </c>
      <c r="G45" s="70">
        <f t="shared" si="15"/>
        <v>0.55200000000000005</v>
      </c>
      <c r="H45" s="76">
        <v>44694</v>
      </c>
      <c r="I45" s="74">
        <f t="shared" si="18"/>
        <v>44687</v>
      </c>
      <c r="J45" s="324">
        <f t="shared" si="19"/>
        <v>7</v>
      </c>
      <c r="K45" s="391">
        <v>2.0299999999999999E-2</v>
      </c>
      <c r="L45" s="316"/>
      <c r="M45" s="316"/>
      <c r="N45" s="316">
        <f t="shared" si="16"/>
        <v>0</v>
      </c>
    </row>
    <row r="46" spans="1:14" ht="16.5" customHeight="1" x14ac:dyDescent="0.25">
      <c r="A46" s="313"/>
      <c r="B46" s="73" t="s">
        <v>50</v>
      </c>
      <c r="C46" s="72">
        <v>644.38</v>
      </c>
      <c r="D46" s="70">
        <f t="shared" si="17"/>
        <v>644.38</v>
      </c>
      <c r="E46" s="72">
        <f t="shared" si="14"/>
        <v>0</v>
      </c>
      <c r="F46" s="72">
        <v>0</v>
      </c>
      <c r="G46" s="70">
        <f t="shared" si="15"/>
        <v>51.550400000000003</v>
      </c>
      <c r="H46" s="76">
        <v>44691</v>
      </c>
      <c r="I46" s="74">
        <f t="shared" si="18"/>
        <v>44687</v>
      </c>
      <c r="J46" s="324">
        <f t="shared" si="19"/>
        <v>4</v>
      </c>
      <c r="K46" s="391">
        <v>2.0299999999999999E-2</v>
      </c>
      <c r="L46" s="316"/>
      <c r="M46" s="316"/>
      <c r="N46" s="316">
        <f t="shared" si="16"/>
        <v>0</v>
      </c>
    </row>
    <row r="47" spans="1:14" ht="16.5" customHeight="1" x14ac:dyDescent="0.25">
      <c r="A47" s="313"/>
      <c r="B47" s="73" t="s">
        <v>51</v>
      </c>
      <c r="C47" s="72">
        <v>61.15</v>
      </c>
      <c r="D47" s="70">
        <f t="shared" si="17"/>
        <v>61.15</v>
      </c>
      <c r="E47" s="72">
        <f t="shared" si="14"/>
        <v>0</v>
      </c>
      <c r="F47" s="72">
        <v>0</v>
      </c>
      <c r="G47" s="70">
        <f t="shared" si="15"/>
        <v>4.8920000000000003</v>
      </c>
      <c r="H47" s="76">
        <v>44694</v>
      </c>
      <c r="I47" s="74">
        <f t="shared" si="18"/>
        <v>44687</v>
      </c>
      <c r="J47" s="324">
        <f t="shared" si="19"/>
        <v>7</v>
      </c>
      <c r="K47" s="391">
        <v>2.0299999999999999E-2</v>
      </c>
      <c r="L47" s="316"/>
      <c r="M47" s="316"/>
      <c r="N47" s="316">
        <f t="shared" si="16"/>
        <v>0</v>
      </c>
    </row>
    <row r="48" spans="1:14" ht="16.5" customHeight="1" x14ac:dyDescent="0.25">
      <c r="A48" s="313"/>
      <c r="B48" s="73" t="s">
        <v>52</v>
      </c>
      <c r="C48" s="72">
        <v>58.28</v>
      </c>
      <c r="D48" s="70">
        <f t="shared" si="17"/>
        <v>58.28</v>
      </c>
      <c r="E48" s="72">
        <f t="shared" si="14"/>
        <v>0</v>
      </c>
      <c r="F48" s="72">
        <v>0</v>
      </c>
      <c r="G48" s="70">
        <f t="shared" si="15"/>
        <v>4.6623999999999999</v>
      </c>
      <c r="H48" s="76">
        <v>44694</v>
      </c>
      <c r="I48" s="74">
        <f t="shared" si="18"/>
        <v>44687</v>
      </c>
      <c r="J48" s="324">
        <f t="shared" si="19"/>
        <v>7</v>
      </c>
      <c r="K48" s="391">
        <v>2.0299999999999999E-2</v>
      </c>
      <c r="L48" s="316"/>
      <c r="M48" s="316"/>
      <c r="N48" s="316">
        <f t="shared" si="16"/>
        <v>0</v>
      </c>
    </row>
    <row r="49" spans="1:14" ht="16.5" customHeight="1" x14ac:dyDescent="0.25">
      <c r="A49" s="313"/>
      <c r="B49" s="73" t="s">
        <v>53</v>
      </c>
      <c r="C49" s="72">
        <v>2453.91</v>
      </c>
      <c r="D49" s="70">
        <v>0</v>
      </c>
      <c r="E49" s="72">
        <f t="shared" si="14"/>
        <v>2453.91</v>
      </c>
      <c r="F49" s="72">
        <f>'H.A Duração'!AC9</f>
        <v>127.77475200000023</v>
      </c>
      <c r="G49" s="70">
        <f t="shared" si="15"/>
        <v>206.53478016000003</v>
      </c>
      <c r="H49" s="76"/>
      <c r="I49" s="74">
        <f t="shared" si="18"/>
        <v>44687</v>
      </c>
      <c r="J49" s="324">
        <v>0</v>
      </c>
      <c r="K49" s="391">
        <v>2.0299999999999999E-2</v>
      </c>
      <c r="L49" s="316"/>
      <c r="M49" s="316"/>
      <c r="N49" s="316">
        <f t="shared" si="16"/>
        <v>52.408200465599997</v>
      </c>
    </row>
    <row r="50" spans="1:14" ht="16.5" customHeight="1" x14ac:dyDescent="0.25">
      <c r="A50" s="313"/>
      <c r="B50" s="73" t="s">
        <v>54</v>
      </c>
      <c r="C50" s="72">
        <v>6.37</v>
      </c>
      <c r="D50" s="70">
        <f t="shared" si="17"/>
        <v>6.37</v>
      </c>
      <c r="E50" s="72">
        <f t="shared" si="14"/>
        <v>0</v>
      </c>
      <c r="F50" s="72">
        <v>0</v>
      </c>
      <c r="G50" s="70">
        <f t="shared" si="15"/>
        <v>0.50960000000000005</v>
      </c>
      <c r="H50" s="76">
        <v>44694</v>
      </c>
      <c r="I50" s="74">
        <f t="shared" si="18"/>
        <v>44687</v>
      </c>
      <c r="J50" s="324">
        <f t="shared" si="19"/>
        <v>7</v>
      </c>
      <c r="K50" s="391">
        <v>2.0299999999999999E-2</v>
      </c>
      <c r="L50" s="316"/>
      <c r="M50" s="316"/>
      <c r="N50" s="316">
        <f t="shared" si="16"/>
        <v>0</v>
      </c>
    </row>
    <row r="51" spans="1:14" ht="16.5" customHeight="1" x14ac:dyDescent="0.25">
      <c r="A51" s="313"/>
      <c r="B51" s="73" t="s">
        <v>55</v>
      </c>
      <c r="C51" s="72">
        <v>4.33</v>
      </c>
      <c r="D51" s="70">
        <f t="shared" si="17"/>
        <v>4.33</v>
      </c>
      <c r="E51" s="72">
        <f t="shared" si="14"/>
        <v>0</v>
      </c>
      <c r="F51" s="72">
        <v>0</v>
      </c>
      <c r="G51" s="70">
        <f t="shared" si="15"/>
        <v>0.34639999999999999</v>
      </c>
      <c r="H51" s="76">
        <v>44694</v>
      </c>
      <c r="I51" s="74">
        <f t="shared" si="18"/>
        <v>44687</v>
      </c>
      <c r="J51" s="324">
        <f t="shared" si="19"/>
        <v>7</v>
      </c>
      <c r="K51" s="391">
        <v>2.0299999999999999E-2</v>
      </c>
      <c r="L51" s="316"/>
      <c r="M51" s="316"/>
      <c r="N51" s="316">
        <f t="shared" si="16"/>
        <v>0</v>
      </c>
    </row>
    <row r="52" spans="1:14" ht="16.5" customHeight="1" x14ac:dyDescent="0.25">
      <c r="A52" s="313"/>
      <c r="B52" s="73" t="s">
        <v>57</v>
      </c>
      <c r="C52" s="72">
        <v>4.33</v>
      </c>
      <c r="D52" s="70">
        <f t="shared" si="17"/>
        <v>4.33</v>
      </c>
      <c r="E52" s="72">
        <f t="shared" si="14"/>
        <v>0</v>
      </c>
      <c r="F52" s="72">
        <v>0</v>
      </c>
      <c r="G52" s="70">
        <f t="shared" si="15"/>
        <v>0.34639999999999999</v>
      </c>
      <c r="H52" s="76">
        <v>44694</v>
      </c>
      <c r="I52" s="74">
        <f t="shared" si="18"/>
        <v>44687</v>
      </c>
      <c r="J52" s="324">
        <f t="shared" si="19"/>
        <v>7</v>
      </c>
      <c r="K52" s="391">
        <v>2.0299999999999999E-2</v>
      </c>
      <c r="L52" s="316"/>
      <c r="M52" s="316"/>
      <c r="N52" s="316">
        <f t="shared" si="16"/>
        <v>0</v>
      </c>
    </row>
    <row r="53" spans="1:14" ht="16.5" customHeight="1" x14ac:dyDescent="0.25">
      <c r="A53" s="313"/>
      <c r="B53" s="73" t="s">
        <v>220</v>
      </c>
      <c r="C53" s="72">
        <v>1724.44</v>
      </c>
      <c r="D53" s="70">
        <f t="shared" si="17"/>
        <v>1724.44</v>
      </c>
      <c r="E53" s="72">
        <f t="shared" si="14"/>
        <v>0</v>
      </c>
      <c r="F53" s="72">
        <v>0</v>
      </c>
      <c r="G53" s="70">
        <f t="shared" si="15"/>
        <v>137.95520000000002</v>
      </c>
      <c r="H53" s="76">
        <v>44691</v>
      </c>
      <c r="I53" s="74">
        <f t="shared" si="18"/>
        <v>44687</v>
      </c>
      <c r="J53" s="324">
        <f t="shared" si="19"/>
        <v>4</v>
      </c>
      <c r="K53" s="391">
        <v>2.0299999999999999E-2</v>
      </c>
      <c r="L53" s="316"/>
      <c r="M53" s="316"/>
      <c r="N53" s="316">
        <f t="shared" si="16"/>
        <v>0</v>
      </c>
    </row>
    <row r="54" spans="1:14" ht="16.5" customHeight="1" x14ac:dyDescent="0.25">
      <c r="A54" s="313"/>
      <c r="B54" s="73" t="s">
        <v>4</v>
      </c>
      <c r="C54" s="72">
        <v>3.73</v>
      </c>
      <c r="D54" s="70">
        <f t="shared" si="17"/>
        <v>3.73</v>
      </c>
      <c r="E54" s="72">
        <f t="shared" si="14"/>
        <v>0</v>
      </c>
      <c r="F54" s="72">
        <v>0</v>
      </c>
      <c r="G54" s="70">
        <f t="shared" si="15"/>
        <v>0.2984</v>
      </c>
      <c r="H54" s="76">
        <v>44694</v>
      </c>
      <c r="I54" s="74">
        <f t="shared" si="18"/>
        <v>44687</v>
      </c>
      <c r="J54" s="324">
        <f t="shared" si="19"/>
        <v>7</v>
      </c>
      <c r="K54" s="391">
        <v>2.0299999999999999E-2</v>
      </c>
      <c r="L54" s="316"/>
      <c r="M54" s="316"/>
      <c r="N54" s="316">
        <f t="shared" si="16"/>
        <v>0</v>
      </c>
    </row>
    <row r="55" spans="1:14" ht="16.5" customHeight="1" x14ac:dyDescent="0.25">
      <c r="A55" s="313"/>
      <c r="B55" s="73" t="s">
        <v>6</v>
      </c>
      <c r="C55" s="72">
        <v>114.22</v>
      </c>
      <c r="D55" s="70">
        <v>0</v>
      </c>
      <c r="E55" s="72">
        <f t="shared" si="14"/>
        <v>114.22</v>
      </c>
      <c r="F55" s="72">
        <v>0</v>
      </c>
      <c r="G55" s="70">
        <f t="shared" si="15"/>
        <v>9.1376000000000008</v>
      </c>
      <c r="H55" s="76"/>
      <c r="I55" s="74">
        <f t="shared" si="18"/>
        <v>44687</v>
      </c>
      <c r="J55" s="324">
        <v>0</v>
      </c>
      <c r="K55" s="391">
        <v>2.0299999999999999E-2</v>
      </c>
      <c r="L55" s="316"/>
      <c r="M55" s="316"/>
      <c r="N55" s="316">
        <f t="shared" si="16"/>
        <v>2.3186659999999999</v>
      </c>
    </row>
    <row r="56" spans="1:14" ht="16.5" customHeight="1" x14ac:dyDescent="0.25">
      <c r="A56" s="313"/>
      <c r="B56" s="73" t="s">
        <v>58</v>
      </c>
      <c r="C56" s="72">
        <v>2.3199999999999998</v>
      </c>
      <c r="D56" s="70">
        <f t="shared" si="17"/>
        <v>2.3199999999999998</v>
      </c>
      <c r="E56" s="72">
        <f t="shared" si="14"/>
        <v>0</v>
      </c>
      <c r="F56" s="72">
        <v>0</v>
      </c>
      <c r="G56" s="70">
        <f t="shared" si="15"/>
        <v>0.18559999999999999</v>
      </c>
      <c r="H56" s="76">
        <v>44694</v>
      </c>
      <c r="I56" s="74">
        <f t="shared" si="18"/>
        <v>44687</v>
      </c>
      <c r="J56" s="324">
        <f t="shared" si="19"/>
        <v>7</v>
      </c>
      <c r="K56" s="391">
        <v>2.0299999999999999E-2</v>
      </c>
      <c r="L56" s="316"/>
      <c r="M56" s="316"/>
      <c r="N56" s="316">
        <f t="shared" si="16"/>
        <v>0</v>
      </c>
    </row>
    <row r="57" spans="1:14" ht="16.5" customHeight="1" x14ac:dyDescent="0.25">
      <c r="A57" s="313"/>
      <c r="B57" s="73" t="s">
        <v>59</v>
      </c>
      <c r="C57" s="72">
        <v>4.5199999999999996</v>
      </c>
      <c r="D57" s="70">
        <f t="shared" si="17"/>
        <v>4.5199999999999996</v>
      </c>
      <c r="E57" s="72">
        <f t="shared" si="14"/>
        <v>0</v>
      </c>
      <c r="F57" s="72">
        <v>0</v>
      </c>
      <c r="G57" s="70">
        <f t="shared" si="15"/>
        <v>0.36159999999999998</v>
      </c>
      <c r="H57" s="76">
        <v>44694</v>
      </c>
      <c r="I57" s="74">
        <f t="shared" si="18"/>
        <v>44687</v>
      </c>
      <c r="J57" s="324">
        <f t="shared" si="19"/>
        <v>7</v>
      </c>
      <c r="K57" s="391">
        <v>2.0299999999999999E-2</v>
      </c>
      <c r="L57" s="316"/>
      <c r="M57" s="316"/>
      <c r="N57" s="316">
        <f t="shared" si="16"/>
        <v>0</v>
      </c>
    </row>
    <row r="58" spans="1:14" ht="16.5" customHeight="1" x14ac:dyDescent="0.25">
      <c r="A58" s="313"/>
      <c r="B58" s="73" t="s">
        <v>242</v>
      </c>
      <c r="C58" s="72">
        <v>432.53</v>
      </c>
      <c r="D58" s="70">
        <f t="shared" si="17"/>
        <v>432.53</v>
      </c>
      <c r="E58" s="72">
        <f t="shared" si="14"/>
        <v>0</v>
      </c>
      <c r="F58" s="72">
        <v>0</v>
      </c>
      <c r="G58" s="70">
        <f t="shared" si="15"/>
        <v>34.602399999999996</v>
      </c>
      <c r="H58" s="76">
        <v>44691</v>
      </c>
      <c r="I58" s="74">
        <f t="shared" si="18"/>
        <v>44687</v>
      </c>
      <c r="J58" s="324">
        <f t="shared" si="19"/>
        <v>4</v>
      </c>
      <c r="K58" s="391">
        <v>2.0299999999999999E-2</v>
      </c>
      <c r="L58" s="316"/>
      <c r="M58" s="316"/>
      <c r="N58" s="316">
        <f t="shared" si="16"/>
        <v>0</v>
      </c>
    </row>
    <row r="59" spans="1:14" ht="16.5" customHeight="1" x14ac:dyDescent="0.25">
      <c r="A59" s="313"/>
      <c r="B59" s="73" t="s">
        <v>62</v>
      </c>
      <c r="C59" s="72">
        <v>2.85</v>
      </c>
      <c r="D59" s="70">
        <f t="shared" si="17"/>
        <v>2.85</v>
      </c>
      <c r="E59" s="72">
        <f t="shared" si="14"/>
        <v>0</v>
      </c>
      <c r="F59" s="72">
        <v>0</v>
      </c>
      <c r="G59" s="70">
        <f t="shared" si="15"/>
        <v>0.22800000000000001</v>
      </c>
      <c r="H59" s="76">
        <v>44694</v>
      </c>
      <c r="I59" s="74">
        <f t="shared" si="18"/>
        <v>44687</v>
      </c>
      <c r="J59" s="324">
        <f t="shared" si="19"/>
        <v>7</v>
      </c>
      <c r="K59" s="391">
        <v>2.0299999999999999E-2</v>
      </c>
      <c r="L59" s="316"/>
      <c r="M59" s="316"/>
      <c r="N59" s="316">
        <f t="shared" si="16"/>
        <v>0</v>
      </c>
    </row>
    <row r="60" spans="1:14" ht="16.5" customHeight="1" x14ac:dyDescent="0.25">
      <c r="A60" s="313"/>
      <c r="B60" s="73" t="s">
        <v>64</v>
      </c>
      <c r="C60" s="72">
        <v>10.79</v>
      </c>
      <c r="D60" s="70">
        <f t="shared" si="17"/>
        <v>10.79</v>
      </c>
      <c r="E60" s="72">
        <f t="shared" si="14"/>
        <v>0</v>
      </c>
      <c r="F60" s="72">
        <v>0</v>
      </c>
      <c r="G60" s="70">
        <f t="shared" si="15"/>
        <v>0.86319999999999997</v>
      </c>
      <c r="H60" s="76">
        <v>44694</v>
      </c>
      <c r="I60" s="74">
        <f t="shared" si="18"/>
        <v>44687</v>
      </c>
      <c r="J60" s="324">
        <f t="shared" si="19"/>
        <v>7</v>
      </c>
      <c r="K60" s="391">
        <v>2.0299999999999999E-2</v>
      </c>
      <c r="L60" s="316"/>
      <c r="M60" s="316"/>
      <c r="N60" s="316">
        <f t="shared" si="16"/>
        <v>0</v>
      </c>
    </row>
    <row r="61" spans="1:14" ht="16.5" customHeight="1" x14ac:dyDescent="0.25">
      <c r="A61" s="313"/>
      <c r="B61" s="73" t="s">
        <v>65</v>
      </c>
      <c r="C61" s="72">
        <v>889.69</v>
      </c>
      <c r="D61" s="70">
        <v>0</v>
      </c>
      <c r="E61" s="72">
        <f t="shared" si="14"/>
        <v>889.69</v>
      </c>
      <c r="F61" s="72">
        <v>0</v>
      </c>
      <c r="G61" s="70">
        <f t="shared" si="15"/>
        <v>71.175200000000004</v>
      </c>
      <c r="H61" s="76"/>
      <c r="I61" s="74">
        <f t="shared" si="18"/>
        <v>44687</v>
      </c>
      <c r="J61" s="324">
        <v>0</v>
      </c>
      <c r="K61" s="391">
        <v>2.0299999999999999E-2</v>
      </c>
      <c r="L61" s="316"/>
      <c r="M61" s="316"/>
      <c r="N61" s="316">
        <f t="shared" si="16"/>
        <v>18.060707000000001</v>
      </c>
    </row>
    <row r="62" spans="1:14" ht="16.5" customHeight="1" x14ac:dyDescent="0.25">
      <c r="A62" s="313"/>
      <c r="B62" s="73" t="s">
        <v>66</v>
      </c>
      <c r="C62" s="72">
        <v>1379.81</v>
      </c>
      <c r="D62" s="70">
        <v>0</v>
      </c>
      <c r="E62" s="72">
        <f t="shared" si="14"/>
        <v>1379.81</v>
      </c>
      <c r="F62" s="72">
        <f>'H.A Duração'!AC13</f>
        <v>323.14049600000021</v>
      </c>
      <c r="G62" s="70">
        <f t="shared" si="15"/>
        <v>136.23603968</v>
      </c>
      <c r="H62" s="76"/>
      <c r="I62" s="74">
        <f t="shared" si="18"/>
        <v>44687</v>
      </c>
      <c r="J62" s="324">
        <v>0</v>
      </c>
      <c r="K62" s="391">
        <v>2.0299999999999999E-2</v>
      </c>
      <c r="L62" s="316"/>
      <c r="M62" s="316"/>
      <c r="N62" s="316">
        <f t="shared" si="16"/>
        <v>34.569895068800001</v>
      </c>
    </row>
    <row r="63" spans="1:14" ht="16.5" customHeight="1" x14ac:dyDescent="0.25">
      <c r="A63" s="313"/>
      <c r="B63" s="73" t="s">
        <v>109</v>
      </c>
      <c r="C63" s="72">
        <v>152.82</v>
      </c>
      <c r="D63" s="70">
        <f t="shared" si="17"/>
        <v>152.82</v>
      </c>
      <c r="E63" s="72">
        <f t="shared" si="14"/>
        <v>0</v>
      </c>
      <c r="F63" s="72">
        <v>0</v>
      </c>
      <c r="G63" s="70">
        <f t="shared" si="15"/>
        <v>12.2256</v>
      </c>
      <c r="H63" s="76">
        <v>44694</v>
      </c>
      <c r="I63" s="74">
        <f t="shared" si="18"/>
        <v>44687</v>
      </c>
      <c r="J63" s="324">
        <f t="shared" si="19"/>
        <v>7</v>
      </c>
      <c r="K63" s="391">
        <v>2.0299999999999999E-2</v>
      </c>
      <c r="L63" s="316"/>
      <c r="M63" s="316"/>
      <c r="N63" s="316">
        <f t="shared" si="16"/>
        <v>0</v>
      </c>
    </row>
    <row r="64" spans="1:14" ht="16.5" customHeight="1" x14ac:dyDescent="0.25">
      <c r="A64" s="313"/>
      <c r="B64" s="73" t="s">
        <v>69</v>
      </c>
      <c r="C64" s="72">
        <v>1155.69</v>
      </c>
      <c r="D64" s="70">
        <v>0</v>
      </c>
      <c r="E64" s="72">
        <f t="shared" si="14"/>
        <v>1155.69</v>
      </c>
      <c r="F64" s="72">
        <v>0</v>
      </c>
      <c r="G64" s="70">
        <f t="shared" si="15"/>
        <v>92.455200000000005</v>
      </c>
      <c r="H64" s="76"/>
      <c r="I64" s="74">
        <f t="shared" si="18"/>
        <v>44687</v>
      </c>
      <c r="J64" s="324">
        <v>0</v>
      </c>
      <c r="K64" s="391">
        <v>2.0299999999999999E-2</v>
      </c>
      <c r="L64" s="316"/>
      <c r="M64" s="316"/>
      <c r="N64" s="316">
        <f t="shared" si="16"/>
        <v>23.460507</v>
      </c>
    </row>
    <row r="65" spans="1:14" ht="16.5" customHeight="1" x14ac:dyDescent="0.25">
      <c r="A65" s="313"/>
      <c r="B65" s="73" t="s">
        <v>72</v>
      </c>
      <c r="C65" s="72">
        <v>58.79</v>
      </c>
      <c r="D65" s="70">
        <v>0</v>
      </c>
      <c r="E65" s="72">
        <f t="shared" si="14"/>
        <v>58.79</v>
      </c>
      <c r="F65" s="72">
        <v>0</v>
      </c>
      <c r="G65" s="70">
        <f t="shared" si="15"/>
        <v>4.7031999999999998</v>
      </c>
      <c r="H65" s="76"/>
      <c r="I65" s="74">
        <f t="shared" si="18"/>
        <v>44687</v>
      </c>
      <c r="J65" s="324">
        <v>0</v>
      </c>
      <c r="K65" s="391">
        <v>2.0299999999999999E-2</v>
      </c>
      <c r="L65" s="316"/>
      <c r="M65" s="316"/>
      <c r="N65" s="316">
        <f t="shared" si="16"/>
        <v>1.1934369999999999</v>
      </c>
    </row>
    <row r="66" spans="1:14" ht="16.5" customHeight="1" x14ac:dyDescent="0.25">
      <c r="A66" s="313"/>
      <c r="B66" s="73" t="s">
        <v>73</v>
      </c>
      <c r="C66" s="72">
        <v>745.3</v>
      </c>
      <c r="D66" s="70">
        <v>0</v>
      </c>
      <c r="E66" s="72">
        <f t="shared" si="14"/>
        <v>745.3</v>
      </c>
      <c r="F66" s="72">
        <v>0</v>
      </c>
      <c r="G66" s="70">
        <f t="shared" si="15"/>
        <v>59.623999999999995</v>
      </c>
      <c r="H66" s="76"/>
      <c r="I66" s="74">
        <f t="shared" si="18"/>
        <v>44687</v>
      </c>
      <c r="J66" s="324">
        <v>0</v>
      </c>
      <c r="K66" s="391">
        <v>2.0299999999999999E-2</v>
      </c>
      <c r="L66" s="316"/>
      <c r="M66" s="316"/>
      <c r="N66" s="316">
        <f t="shared" si="16"/>
        <v>15.129589999999999</v>
      </c>
    </row>
    <row r="67" spans="1:14" ht="16.5" customHeight="1" x14ac:dyDescent="0.25">
      <c r="A67" s="313"/>
      <c r="B67" s="73" t="s">
        <v>28</v>
      </c>
      <c r="C67" s="72">
        <v>3.33</v>
      </c>
      <c r="D67" s="70">
        <f t="shared" si="17"/>
        <v>3.33</v>
      </c>
      <c r="E67" s="72">
        <v>0</v>
      </c>
      <c r="F67" s="72">
        <v>0</v>
      </c>
      <c r="G67" s="70">
        <f t="shared" si="15"/>
        <v>0.26640000000000003</v>
      </c>
      <c r="H67" s="76">
        <v>44694</v>
      </c>
      <c r="I67" s="74">
        <f t="shared" si="18"/>
        <v>44687</v>
      </c>
      <c r="J67" s="324">
        <f t="shared" si="19"/>
        <v>7</v>
      </c>
      <c r="K67" s="391">
        <v>2.0299999999999999E-2</v>
      </c>
      <c r="L67" s="316"/>
      <c r="M67" s="316"/>
      <c r="N67" s="316">
        <f t="shared" si="16"/>
        <v>0</v>
      </c>
    </row>
    <row r="68" spans="1:14" ht="16.5" customHeight="1" x14ac:dyDescent="0.25">
      <c r="A68" s="313"/>
      <c r="B68" s="73" t="s">
        <v>74</v>
      </c>
      <c r="C68" s="72">
        <v>3131.81</v>
      </c>
      <c r="D68" s="70">
        <v>1000</v>
      </c>
      <c r="E68" s="72">
        <f t="shared" si="14"/>
        <v>2131.81</v>
      </c>
      <c r="F68" s="72">
        <f>'H.A Duração'!AC14</f>
        <v>2350.2621333333332</v>
      </c>
      <c r="G68" s="70">
        <f t="shared" si="15"/>
        <v>438.56577066666665</v>
      </c>
      <c r="H68" s="76">
        <v>44693</v>
      </c>
      <c r="I68" s="74">
        <f t="shared" si="18"/>
        <v>44687</v>
      </c>
      <c r="J68" s="324">
        <f t="shared" si="19"/>
        <v>6</v>
      </c>
      <c r="K68" s="391">
        <v>2.0299999999999999E-2</v>
      </c>
      <c r="L68" s="316"/>
      <c r="M68" s="316"/>
      <c r="N68" s="316">
        <f t="shared" si="16"/>
        <v>90.986064306666663</v>
      </c>
    </row>
    <row r="69" spans="1:14" ht="16.5" customHeight="1" x14ac:dyDescent="0.25">
      <c r="A69" s="313"/>
      <c r="B69" s="73" t="s">
        <v>10</v>
      </c>
      <c r="C69" s="72">
        <v>7.14</v>
      </c>
      <c r="D69" s="70">
        <f t="shared" si="17"/>
        <v>7.14</v>
      </c>
      <c r="E69" s="72">
        <f t="shared" si="14"/>
        <v>0</v>
      </c>
      <c r="F69" s="72">
        <v>0</v>
      </c>
      <c r="G69" s="70">
        <f t="shared" si="15"/>
        <v>0.57120000000000004</v>
      </c>
      <c r="H69" s="76">
        <v>44694</v>
      </c>
      <c r="I69" s="74">
        <f t="shared" si="18"/>
        <v>44687</v>
      </c>
      <c r="J69" s="324">
        <f t="shared" si="19"/>
        <v>7</v>
      </c>
      <c r="K69" s="391">
        <v>2.0299999999999999E-2</v>
      </c>
      <c r="L69" s="316"/>
      <c r="M69" s="316"/>
      <c r="N69" s="316">
        <f t="shared" si="16"/>
        <v>0</v>
      </c>
    </row>
    <row r="70" spans="1:14" ht="16.5" customHeight="1" x14ac:dyDescent="0.25">
      <c r="A70" s="313"/>
      <c r="B70" s="73" t="s">
        <v>77</v>
      </c>
      <c r="C70" s="72">
        <v>1155.56</v>
      </c>
      <c r="D70" s="70">
        <v>0</v>
      </c>
      <c r="E70" s="72">
        <f t="shared" si="14"/>
        <v>1155.56</v>
      </c>
      <c r="F70" s="72">
        <f>'H.A Duração'!AC15</f>
        <v>499.98816000000022</v>
      </c>
      <c r="G70" s="70">
        <f t="shared" si="15"/>
        <v>132.44385280000003</v>
      </c>
      <c r="H70" s="76"/>
      <c r="I70" s="74">
        <f t="shared" si="18"/>
        <v>44687</v>
      </c>
      <c r="J70" s="324">
        <v>0</v>
      </c>
      <c r="K70" s="391">
        <v>2.0299999999999999E-2</v>
      </c>
      <c r="L70" s="316"/>
      <c r="M70" s="316"/>
      <c r="N70" s="316">
        <f t="shared" si="16"/>
        <v>33.607627648000005</v>
      </c>
    </row>
    <row r="71" spans="1:14" ht="16.5" customHeight="1" x14ac:dyDescent="0.25">
      <c r="A71" s="313"/>
      <c r="B71" s="73" t="s">
        <v>78</v>
      </c>
      <c r="C71" s="72">
        <v>963.45</v>
      </c>
      <c r="D71" s="70">
        <v>0</v>
      </c>
      <c r="E71" s="72">
        <v>963.45</v>
      </c>
      <c r="F71" s="72">
        <v>0</v>
      </c>
      <c r="G71" s="70">
        <f t="shared" si="15"/>
        <v>77.076000000000008</v>
      </c>
      <c r="H71" s="76"/>
      <c r="I71" s="74">
        <f t="shared" si="18"/>
        <v>44687</v>
      </c>
      <c r="J71" s="324">
        <v>0</v>
      </c>
      <c r="K71" s="391">
        <v>2.0299999999999999E-2</v>
      </c>
      <c r="L71" s="316"/>
      <c r="M71" s="316"/>
      <c r="N71" s="316">
        <f t="shared" si="16"/>
        <v>19.558035</v>
      </c>
    </row>
    <row r="72" spans="1:14" ht="16.5" customHeight="1" x14ac:dyDescent="0.25">
      <c r="A72" s="313"/>
      <c r="B72" s="73" t="s">
        <v>12</v>
      </c>
      <c r="C72" s="72">
        <v>653.51</v>
      </c>
      <c r="D72" s="70">
        <v>0</v>
      </c>
      <c r="E72" s="72">
        <v>653.51</v>
      </c>
      <c r="F72" s="72">
        <v>0</v>
      </c>
      <c r="G72" s="70">
        <f t="shared" si="15"/>
        <v>52.280799999999999</v>
      </c>
      <c r="H72" s="76"/>
      <c r="I72" s="74">
        <f t="shared" si="18"/>
        <v>44687</v>
      </c>
      <c r="J72" s="324">
        <v>0</v>
      </c>
      <c r="K72" s="391">
        <v>2.0299999999999999E-2</v>
      </c>
      <c r="L72" s="316"/>
      <c r="M72" s="316"/>
      <c r="N72" s="316">
        <f t="shared" si="16"/>
        <v>13.266252999999999</v>
      </c>
    </row>
    <row r="73" spans="1:14" ht="16.5" customHeight="1" x14ac:dyDescent="0.25">
      <c r="A73" s="313"/>
      <c r="B73" s="73" t="s">
        <v>79</v>
      </c>
      <c r="C73" s="72">
        <v>1068.43</v>
      </c>
      <c r="D73" s="70">
        <f t="shared" si="17"/>
        <v>1068.43</v>
      </c>
      <c r="E73" s="72">
        <f t="shared" si="14"/>
        <v>0</v>
      </c>
      <c r="F73" s="72">
        <v>0</v>
      </c>
      <c r="G73" s="70">
        <f t="shared" si="15"/>
        <v>85.474400000000003</v>
      </c>
      <c r="H73" s="76">
        <v>44691</v>
      </c>
      <c r="I73" s="74">
        <f t="shared" si="18"/>
        <v>44687</v>
      </c>
      <c r="J73" s="324">
        <f t="shared" si="19"/>
        <v>4</v>
      </c>
      <c r="K73" s="391">
        <v>2.0299999999999999E-2</v>
      </c>
      <c r="L73" s="316"/>
      <c r="M73" s="316"/>
      <c r="N73" s="316">
        <f t="shared" si="16"/>
        <v>0</v>
      </c>
    </row>
    <row r="74" spans="1:14" ht="16.5" customHeight="1" x14ac:dyDescent="0.25">
      <c r="A74" s="313"/>
      <c r="B74" s="73" t="s">
        <v>111</v>
      </c>
      <c r="C74" s="72">
        <v>1011.25</v>
      </c>
      <c r="D74" s="70">
        <f t="shared" si="17"/>
        <v>1011.25</v>
      </c>
      <c r="E74" s="72">
        <f t="shared" si="14"/>
        <v>0</v>
      </c>
      <c r="F74" s="72">
        <v>0</v>
      </c>
      <c r="G74" s="70">
        <f t="shared" si="15"/>
        <v>80.900000000000006</v>
      </c>
      <c r="H74" s="76">
        <v>44691</v>
      </c>
      <c r="I74" s="74">
        <f t="shared" si="18"/>
        <v>44687</v>
      </c>
      <c r="J74" s="324">
        <f t="shared" si="19"/>
        <v>4</v>
      </c>
      <c r="K74" s="391">
        <v>2.0299999999999999E-2</v>
      </c>
      <c r="L74" s="316"/>
      <c r="M74" s="316"/>
      <c r="N74" s="316">
        <f t="shared" si="16"/>
        <v>0</v>
      </c>
    </row>
    <row r="75" spans="1:14" ht="16.5" customHeight="1" x14ac:dyDescent="0.25">
      <c r="A75" s="313"/>
      <c r="B75" s="73" t="s">
        <v>80</v>
      </c>
      <c r="C75" s="72">
        <v>1901.43</v>
      </c>
      <c r="D75" s="70">
        <v>1000</v>
      </c>
      <c r="E75" s="72">
        <f t="shared" si="14"/>
        <v>901.43000000000006</v>
      </c>
      <c r="F75" s="72">
        <v>0</v>
      </c>
      <c r="G75" s="70">
        <f t="shared" si="15"/>
        <v>152.11440000000002</v>
      </c>
      <c r="H75" s="76">
        <v>44697</v>
      </c>
      <c r="I75" s="74">
        <f t="shared" si="18"/>
        <v>44687</v>
      </c>
      <c r="J75" s="324">
        <f t="shared" si="19"/>
        <v>10</v>
      </c>
      <c r="K75" s="391">
        <v>2.0299999999999999E-2</v>
      </c>
      <c r="L75" s="316"/>
      <c r="M75" s="316"/>
      <c r="N75" s="316">
        <f t="shared" si="16"/>
        <v>18.299029000000001</v>
      </c>
    </row>
    <row r="76" spans="1:14" ht="16.5" customHeight="1" x14ac:dyDescent="0.25">
      <c r="A76" s="313"/>
      <c r="B76" s="73" t="s">
        <v>81</v>
      </c>
      <c r="C76" s="72">
        <v>1914.03</v>
      </c>
      <c r="D76" s="70">
        <f t="shared" si="17"/>
        <v>1914.03</v>
      </c>
      <c r="E76" s="72">
        <f t="shared" si="14"/>
        <v>0</v>
      </c>
      <c r="F76" s="72">
        <v>0</v>
      </c>
      <c r="G76" s="70">
        <f t="shared" si="15"/>
        <v>153.1224</v>
      </c>
      <c r="H76" s="76">
        <v>44691</v>
      </c>
      <c r="I76" s="74">
        <f t="shared" si="18"/>
        <v>44687</v>
      </c>
      <c r="J76" s="324">
        <f t="shared" si="19"/>
        <v>4</v>
      </c>
      <c r="K76" s="391">
        <v>2.0299999999999999E-2</v>
      </c>
      <c r="L76" s="316"/>
      <c r="M76" s="316"/>
      <c r="N76" s="316">
        <f t="shared" si="16"/>
        <v>0</v>
      </c>
    </row>
    <row r="77" spans="1:14" ht="16.5" customHeight="1" x14ac:dyDescent="0.25">
      <c r="A77" s="313"/>
      <c r="B77" s="73" t="s">
        <v>245</v>
      </c>
      <c r="C77" s="72">
        <v>59.32</v>
      </c>
      <c r="D77" s="70">
        <f t="shared" si="17"/>
        <v>59.32</v>
      </c>
      <c r="E77" s="72">
        <f t="shared" si="14"/>
        <v>0</v>
      </c>
      <c r="F77" s="72">
        <v>0</v>
      </c>
      <c r="G77" s="70">
        <f t="shared" si="15"/>
        <v>4.7456000000000005</v>
      </c>
      <c r="H77" s="76">
        <v>44694</v>
      </c>
      <c r="I77" s="74">
        <f t="shared" si="18"/>
        <v>44687</v>
      </c>
      <c r="J77" s="324">
        <f t="shared" si="19"/>
        <v>7</v>
      </c>
      <c r="K77" s="391">
        <v>2.0299999999999999E-2</v>
      </c>
      <c r="L77" s="316"/>
      <c r="M77" s="316"/>
      <c r="N77" s="316">
        <f t="shared" si="16"/>
        <v>0</v>
      </c>
    </row>
    <row r="78" spans="1:14" ht="16.5" customHeight="1" x14ac:dyDescent="0.25">
      <c r="A78" s="313"/>
      <c r="B78" s="73" t="s">
        <v>112</v>
      </c>
      <c r="C78" s="72">
        <v>6.01</v>
      </c>
      <c r="D78" s="70">
        <v>0</v>
      </c>
      <c r="E78" s="72">
        <v>6.01</v>
      </c>
      <c r="F78" s="72">
        <v>0</v>
      </c>
      <c r="G78" s="70">
        <f t="shared" si="15"/>
        <v>0.48080000000000001</v>
      </c>
      <c r="H78" s="76"/>
      <c r="I78" s="74">
        <f t="shared" si="18"/>
        <v>44687</v>
      </c>
      <c r="J78" s="324">
        <v>0</v>
      </c>
      <c r="K78" s="391">
        <v>2.0299999999999999E-2</v>
      </c>
      <c r="L78" s="316"/>
      <c r="M78" s="316"/>
      <c r="N78" s="316">
        <f t="shared" si="16"/>
        <v>0.12200299999999999</v>
      </c>
    </row>
    <row r="79" spans="1:14" ht="16.5" customHeight="1" x14ac:dyDescent="0.25">
      <c r="A79" s="313"/>
      <c r="B79" s="73" t="s">
        <v>85</v>
      </c>
      <c r="C79" s="72">
        <v>4.76</v>
      </c>
      <c r="D79" s="70">
        <f t="shared" si="17"/>
        <v>4.76</v>
      </c>
      <c r="E79" s="72">
        <f t="shared" si="14"/>
        <v>0</v>
      </c>
      <c r="F79" s="72">
        <v>0</v>
      </c>
      <c r="G79" s="70">
        <f t="shared" si="15"/>
        <v>0.38079999999999997</v>
      </c>
      <c r="H79" s="76">
        <v>44694</v>
      </c>
      <c r="I79" s="74">
        <f t="shared" si="18"/>
        <v>44687</v>
      </c>
      <c r="J79" s="324">
        <f t="shared" si="19"/>
        <v>7</v>
      </c>
      <c r="K79" s="391">
        <v>2.0299999999999999E-2</v>
      </c>
      <c r="L79" s="316"/>
      <c r="M79" s="316"/>
      <c r="N79" s="316">
        <f t="shared" si="16"/>
        <v>0</v>
      </c>
    </row>
    <row r="80" spans="1:14" ht="16.5" customHeight="1" x14ac:dyDescent="0.25">
      <c r="A80" s="313"/>
      <c r="B80" s="73" t="s">
        <v>88</v>
      </c>
      <c r="C80" s="72">
        <v>112.94</v>
      </c>
      <c r="D80" s="70">
        <f t="shared" si="17"/>
        <v>112.94</v>
      </c>
      <c r="E80" s="72">
        <f t="shared" si="14"/>
        <v>0</v>
      </c>
      <c r="F80" s="72">
        <v>0</v>
      </c>
      <c r="G80" s="70">
        <f t="shared" si="15"/>
        <v>9.0351999999999997</v>
      </c>
      <c r="H80" s="74">
        <v>44687</v>
      </c>
      <c r="I80" s="74">
        <f t="shared" si="18"/>
        <v>44687</v>
      </c>
      <c r="J80" s="324">
        <f t="shared" si="19"/>
        <v>0</v>
      </c>
      <c r="K80" s="391">
        <v>2.0299999999999999E-2</v>
      </c>
      <c r="L80" s="316"/>
      <c r="M80" s="316"/>
      <c r="N80" s="316">
        <f t="shared" si="16"/>
        <v>0</v>
      </c>
    </row>
    <row r="81" spans="1:14" ht="16.5" customHeight="1" x14ac:dyDescent="0.25">
      <c r="A81" s="313"/>
      <c r="B81" s="73" t="s">
        <v>89</v>
      </c>
      <c r="C81" s="72">
        <v>58.02</v>
      </c>
      <c r="D81" s="70">
        <f t="shared" si="17"/>
        <v>58.02</v>
      </c>
      <c r="E81" s="72">
        <f t="shared" si="14"/>
        <v>0</v>
      </c>
      <c r="F81" s="72">
        <v>0</v>
      </c>
      <c r="G81" s="70">
        <f t="shared" si="15"/>
        <v>4.6416000000000004</v>
      </c>
      <c r="H81" s="76">
        <v>44694</v>
      </c>
      <c r="I81" s="74">
        <f t="shared" si="18"/>
        <v>44687</v>
      </c>
      <c r="J81" s="324">
        <f t="shared" si="19"/>
        <v>7</v>
      </c>
      <c r="K81" s="391">
        <v>2.0299999999999999E-2</v>
      </c>
      <c r="L81" s="316"/>
      <c r="M81" s="316"/>
      <c r="N81" s="316">
        <f t="shared" si="16"/>
        <v>0</v>
      </c>
    </row>
    <row r="82" spans="1:14" ht="16.5" customHeight="1" x14ac:dyDescent="0.25">
      <c r="A82" s="313"/>
      <c r="B82" s="73" t="s">
        <v>113</v>
      </c>
      <c r="C82" s="72">
        <v>715.86</v>
      </c>
      <c r="D82" s="70">
        <f t="shared" si="17"/>
        <v>715.86</v>
      </c>
      <c r="E82" s="72">
        <v>0</v>
      </c>
      <c r="F82" s="72">
        <v>0</v>
      </c>
      <c r="G82" s="70">
        <f t="shared" si="15"/>
        <v>57.268799999999999</v>
      </c>
      <c r="H82" s="76">
        <v>44691</v>
      </c>
      <c r="I82" s="74">
        <f t="shared" si="18"/>
        <v>44687</v>
      </c>
      <c r="J82" s="324">
        <f t="shared" si="19"/>
        <v>4</v>
      </c>
      <c r="K82" s="391">
        <v>2.0299999999999999E-2</v>
      </c>
      <c r="L82" s="316"/>
      <c r="M82" s="316"/>
      <c r="N82" s="316">
        <f t="shared" si="16"/>
        <v>0</v>
      </c>
    </row>
    <row r="83" spans="1:14" ht="16.5" customHeight="1" x14ac:dyDescent="0.25">
      <c r="A83" s="313"/>
      <c r="B83" s="73" t="s">
        <v>90</v>
      </c>
      <c r="C83" s="72">
        <v>5.0999999999999996</v>
      </c>
      <c r="D83" s="70">
        <f t="shared" si="17"/>
        <v>5.0999999999999996</v>
      </c>
      <c r="E83" s="72">
        <v>0</v>
      </c>
      <c r="F83" s="72">
        <v>0</v>
      </c>
      <c r="G83" s="70">
        <f t="shared" si="15"/>
        <v>0.40799999999999997</v>
      </c>
      <c r="H83" s="76">
        <v>44694</v>
      </c>
      <c r="I83" s="74">
        <f t="shared" si="18"/>
        <v>44687</v>
      </c>
      <c r="J83" s="324">
        <f t="shared" si="19"/>
        <v>7</v>
      </c>
      <c r="K83" s="391">
        <v>2.0299999999999999E-2</v>
      </c>
      <c r="L83" s="316"/>
      <c r="M83" s="316"/>
      <c r="N83" s="316">
        <f t="shared" si="16"/>
        <v>0</v>
      </c>
    </row>
    <row r="84" spans="1:14" ht="16.5" customHeight="1" x14ac:dyDescent="0.25">
      <c r="A84" s="313"/>
      <c r="B84" s="73" t="s">
        <v>93</v>
      </c>
      <c r="C84" s="72">
        <v>56.47</v>
      </c>
      <c r="D84" s="70">
        <f t="shared" si="17"/>
        <v>56.47</v>
      </c>
      <c r="E84" s="72">
        <f t="shared" si="14"/>
        <v>0</v>
      </c>
      <c r="F84" s="72">
        <v>0</v>
      </c>
      <c r="G84" s="70">
        <f t="shared" si="15"/>
        <v>4.5175999999999998</v>
      </c>
      <c r="H84" s="76">
        <v>44694</v>
      </c>
      <c r="I84" s="74">
        <f t="shared" si="18"/>
        <v>44687</v>
      </c>
      <c r="J84" s="324">
        <f t="shared" si="19"/>
        <v>7</v>
      </c>
      <c r="K84" s="391">
        <v>2.0299999999999999E-2</v>
      </c>
      <c r="L84" s="316"/>
      <c r="M84" s="316"/>
      <c r="N84" s="316">
        <f t="shared" si="16"/>
        <v>0</v>
      </c>
    </row>
    <row r="85" spans="1:14" ht="16.5" customHeight="1" x14ac:dyDescent="0.25">
      <c r="A85" s="313"/>
      <c r="B85" s="73" t="s">
        <v>94</v>
      </c>
      <c r="C85" s="72">
        <v>1426.5</v>
      </c>
      <c r="D85" s="70">
        <v>0</v>
      </c>
      <c r="E85" s="72">
        <f t="shared" si="14"/>
        <v>1426.5</v>
      </c>
      <c r="F85" s="72">
        <f>'H.A Duração'!AC19</f>
        <v>619.09344000000021</v>
      </c>
      <c r="G85" s="70">
        <f t="shared" si="15"/>
        <v>163.6474752</v>
      </c>
      <c r="H85" s="76"/>
      <c r="I85" s="74">
        <f t="shared" si="18"/>
        <v>44687</v>
      </c>
      <c r="J85" s="324">
        <v>0</v>
      </c>
      <c r="K85" s="391">
        <v>2.0299999999999999E-2</v>
      </c>
      <c r="L85" s="316"/>
      <c r="M85" s="316"/>
      <c r="N85" s="316">
        <f t="shared" si="16"/>
        <v>41.525546831999996</v>
      </c>
    </row>
    <row r="86" spans="1:14" ht="16.5" customHeight="1" x14ac:dyDescent="0.25">
      <c r="A86" s="313"/>
      <c r="B86" s="73" t="s">
        <v>95</v>
      </c>
      <c r="C86" s="72">
        <v>578.07000000000005</v>
      </c>
      <c r="D86" s="70">
        <v>0</v>
      </c>
      <c r="E86" s="72">
        <f t="shared" si="14"/>
        <v>578.07000000000005</v>
      </c>
      <c r="F86" s="72">
        <f>'H.A Duração'!AC20</f>
        <v>261.10492800000003</v>
      </c>
      <c r="G86" s="70">
        <f t="shared" si="15"/>
        <v>67.133994240000007</v>
      </c>
      <c r="H86" s="76"/>
      <c r="I86" s="74">
        <f t="shared" si="18"/>
        <v>44687</v>
      </c>
      <c r="J86" s="324">
        <v>0</v>
      </c>
      <c r="K86" s="391">
        <v>2.0299999999999999E-2</v>
      </c>
      <c r="L86" s="316"/>
      <c r="M86" s="316"/>
      <c r="N86" s="316">
        <f t="shared" si="16"/>
        <v>17.035251038400002</v>
      </c>
    </row>
    <row r="87" spans="1:14" ht="16.5" customHeight="1" x14ac:dyDescent="0.25">
      <c r="A87" s="313"/>
      <c r="B87" s="73" t="s">
        <v>223</v>
      </c>
      <c r="C87" s="72">
        <v>2.85</v>
      </c>
      <c r="D87" s="70">
        <f t="shared" si="17"/>
        <v>2.85</v>
      </c>
      <c r="E87" s="72">
        <f t="shared" si="14"/>
        <v>0</v>
      </c>
      <c r="F87" s="72">
        <v>0</v>
      </c>
      <c r="G87" s="70">
        <f t="shared" si="15"/>
        <v>0.22800000000000001</v>
      </c>
      <c r="H87" s="76">
        <v>44691</v>
      </c>
      <c r="I87" s="74">
        <f t="shared" si="18"/>
        <v>44687</v>
      </c>
      <c r="J87" s="324">
        <f t="shared" si="19"/>
        <v>4</v>
      </c>
      <c r="K87" s="391">
        <v>2.0299999999999999E-2</v>
      </c>
      <c r="L87" s="316"/>
      <c r="M87" s="316"/>
      <c r="N87" s="316">
        <f t="shared" si="16"/>
        <v>0</v>
      </c>
    </row>
    <row r="88" spans="1:14" ht="16.5" customHeight="1" x14ac:dyDescent="0.25">
      <c r="A88" s="313"/>
      <c r="B88" s="73" t="s">
        <v>15</v>
      </c>
      <c r="C88" s="72">
        <v>4.41</v>
      </c>
      <c r="D88" s="70">
        <f t="shared" si="17"/>
        <v>4.41</v>
      </c>
      <c r="E88" s="72">
        <f t="shared" si="14"/>
        <v>0</v>
      </c>
      <c r="F88" s="72">
        <v>0</v>
      </c>
      <c r="G88" s="70">
        <f t="shared" si="15"/>
        <v>0.3528</v>
      </c>
      <c r="H88" s="76">
        <v>44694</v>
      </c>
      <c r="I88" s="74">
        <f t="shared" si="18"/>
        <v>44687</v>
      </c>
      <c r="J88" s="324">
        <f t="shared" si="19"/>
        <v>7</v>
      </c>
      <c r="K88" s="391">
        <v>2.0299999999999999E-2</v>
      </c>
      <c r="L88" s="316"/>
      <c r="M88" s="316"/>
      <c r="N88" s="316">
        <f t="shared" si="16"/>
        <v>0</v>
      </c>
    </row>
    <row r="89" spans="1:14" ht="16.5" customHeight="1" x14ac:dyDescent="0.25">
      <c r="A89" s="313"/>
      <c r="B89" s="73" t="s">
        <v>136</v>
      </c>
      <c r="C89" s="72">
        <v>357.92</v>
      </c>
      <c r="D89" s="70">
        <f t="shared" si="17"/>
        <v>357.92</v>
      </c>
      <c r="E89" s="72">
        <f t="shared" si="14"/>
        <v>0</v>
      </c>
      <c r="F89" s="72">
        <v>0</v>
      </c>
      <c r="G89" s="70">
        <f t="shared" si="15"/>
        <v>28.633600000000001</v>
      </c>
      <c r="H89" s="76">
        <v>44691</v>
      </c>
      <c r="I89" s="74">
        <f>I88</f>
        <v>44687</v>
      </c>
      <c r="J89" s="324">
        <f t="shared" si="19"/>
        <v>4</v>
      </c>
      <c r="K89" s="391">
        <v>2.0299999999999999E-2</v>
      </c>
      <c r="L89" s="316"/>
      <c r="M89" s="316"/>
      <c r="N89" s="316">
        <f t="shared" si="16"/>
        <v>0</v>
      </c>
    </row>
    <row r="90" spans="1:14" ht="16.5" customHeight="1" x14ac:dyDescent="0.25">
      <c r="A90" s="313"/>
      <c r="B90" s="73" t="s">
        <v>98</v>
      </c>
      <c r="C90" s="72">
        <v>2439.09</v>
      </c>
      <c r="D90" s="70">
        <v>0</v>
      </c>
      <c r="E90" s="72">
        <f t="shared" si="14"/>
        <v>2439.09</v>
      </c>
      <c r="F90" s="72">
        <v>0</v>
      </c>
      <c r="G90" s="70">
        <f t="shared" si="15"/>
        <v>195.12720000000002</v>
      </c>
      <c r="H90" s="76"/>
      <c r="I90" s="74" t="e">
        <f>#REF!</f>
        <v>#REF!</v>
      </c>
      <c r="J90" s="324">
        <v>0</v>
      </c>
      <c r="K90" s="391">
        <v>2.0299999999999999E-2</v>
      </c>
      <c r="L90" s="316"/>
      <c r="M90" s="316"/>
      <c r="N90" s="316">
        <f t="shared" si="16"/>
        <v>49.513526999999996</v>
      </c>
    </row>
    <row r="91" spans="1:14" ht="16.5" customHeight="1" x14ac:dyDescent="0.25">
      <c r="A91" s="313"/>
      <c r="B91" s="73" t="s">
        <v>99</v>
      </c>
      <c r="C91" s="72">
        <v>1345.12</v>
      </c>
      <c r="D91" s="70">
        <v>1000</v>
      </c>
      <c r="E91" s="72">
        <f t="shared" si="14"/>
        <v>345.11999999999989</v>
      </c>
      <c r="F91" s="72">
        <v>0</v>
      </c>
      <c r="G91" s="70">
        <f t="shared" si="15"/>
        <v>107.6096</v>
      </c>
      <c r="H91" s="76">
        <v>44693</v>
      </c>
      <c r="I91" s="74">
        <f t="shared" si="18"/>
        <v>44687</v>
      </c>
      <c r="J91" s="324">
        <f t="shared" si="19"/>
        <v>6</v>
      </c>
      <c r="K91" s="391">
        <v>2.0299999999999999E-2</v>
      </c>
      <c r="L91" s="316"/>
      <c r="M91" s="316"/>
      <c r="N91" s="316">
        <f t="shared" si="16"/>
        <v>7.0059359999999975</v>
      </c>
    </row>
    <row r="92" spans="1:14" ht="16.5" customHeight="1" x14ac:dyDescent="0.25">
      <c r="A92" s="313"/>
      <c r="B92" s="73" t="s">
        <v>100</v>
      </c>
      <c r="C92" s="72">
        <v>500.73</v>
      </c>
      <c r="D92" s="70">
        <v>0</v>
      </c>
      <c r="E92" s="72">
        <f t="shared" si="14"/>
        <v>500.73</v>
      </c>
      <c r="F92" s="72">
        <v>0</v>
      </c>
      <c r="G92" s="70">
        <f t="shared" si="15"/>
        <v>40.058399999999999</v>
      </c>
      <c r="H92" s="311"/>
      <c r="I92" s="74" t="e">
        <f t="shared" si="18"/>
        <v>#REF!</v>
      </c>
      <c r="J92" s="324">
        <v>0</v>
      </c>
      <c r="K92" s="391">
        <v>2.0299999999999999E-2</v>
      </c>
      <c r="L92" s="316"/>
      <c r="M92" s="316"/>
      <c r="N92" s="316">
        <f t="shared" si="16"/>
        <v>10.164819</v>
      </c>
    </row>
    <row r="93" spans="1:14" ht="16.5" customHeight="1" x14ac:dyDescent="0.25">
      <c r="A93" s="313"/>
      <c r="B93" s="73" t="s">
        <v>101</v>
      </c>
      <c r="C93" s="72">
        <v>2.97</v>
      </c>
      <c r="D93" s="70">
        <f t="shared" si="17"/>
        <v>2.97</v>
      </c>
      <c r="E93" s="72">
        <f t="shared" si="14"/>
        <v>0</v>
      </c>
      <c r="F93" s="72">
        <v>0</v>
      </c>
      <c r="G93" s="70">
        <f t="shared" si="15"/>
        <v>0.23760000000000003</v>
      </c>
      <c r="H93" s="76">
        <v>44694</v>
      </c>
      <c r="I93" s="74">
        <f t="shared" si="18"/>
        <v>44687</v>
      </c>
      <c r="J93" s="324">
        <f t="shared" si="19"/>
        <v>7</v>
      </c>
      <c r="K93" s="391">
        <v>2.0299999999999999E-2</v>
      </c>
      <c r="L93" s="316"/>
      <c r="M93" s="316"/>
      <c r="N93" s="316">
        <f t="shared" si="16"/>
        <v>0</v>
      </c>
    </row>
    <row r="94" spans="1:14" s="65" customFormat="1" ht="17.25" customHeight="1" x14ac:dyDescent="0.25">
      <c r="A94" s="190"/>
      <c r="B94" s="181" t="s">
        <v>162</v>
      </c>
      <c r="C94" s="181">
        <f>SUM(C30:C93)</f>
        <v>40674.470000000016</v>
      </c>
      <c r="D94" s="181">
        <f>SUM(D30:D93)</f>
        <v>15197.23</v>
      </c>
      <c r="E94" s="317">
        <f>SUM(E30:E93)</f>
        <v>25477.239999999998</v>
      </c>
      <c r="F94" s="317">
        <f>SUM(F30:F93)</f>
        <v>5244.1292213333336</v>
      </c>
      <c r="G94" s="181">
        <f>SUM(G30:G93)</f>
        <v>3673.4879377066659</v>
      </c>
      <c r="H94" s="182"/>
      <c r="I94" s="182"/>
      <c r="J94" s="182"/>
      <c r="K94" s="245">
        <f>SUM(K30:K93)</f>
        <v>1.2991999999999992</v>
      </c>
      <c r="L94" s="182"/>
      <c r="M94" s="182"/>
      <c r="N94" s="181">
        <f>SUM(N30:N93)</f>
        <v>623.64379519306669</v>
      </c>
    </row>
    <row r="95" spans="1:14" ht="15.75" x14ac:dyDescent="0.25">
      <c r="A95" s="186"/>
      <c r="B95" s="187" t="s">
        <v>103</v>
      </c>
      <c r="C95" s="188">
        <f>SUM(C94+C29+C14)</f>
        <v>88113.710000000021</v>
      </c>
      <c r="D95" s="188">
        <f>D94+D29+D14</f>
        <v>21977.82</v>
      </c>
      <c r="E95" s="188">
        <f>E94+E29+E14</f>
        <v>66135.89</v>
      </c>
      <c r="F95" s="188">
        <f>SUM(F94+F29+F14)</f>
        <v>11601.728758666668</v>
      </c>
      <c r="G95" s="188">
        <f>G94+G29+G14</f>
        <v>7977.2351006933322</v>
      </c>
      <c r="H95" s="189"/>
      <c r="I95" s="189"/>
      <c r="J95" s="189"/>
      <c r="K95" s="246">
        <f>K94+K29+K14</f>
        <v>1.2991999999999992</v>
      </c>
      <c r="L95" s="189"/>
      <c r="M95" s="189"/>
      <c r="N95" s="189">
        <f>N94+N29+N14</f>
        <v>1578.0736608009333</v>
      </c>
    </row>
    <row r="97" spans="1:19" x14ac:dyDescent="0.25">
      <c r="B97" s="166"/>
      <c r="C97" s="220"/>
      <c r="D97" s="166"/>
      <c r="E97" s="166"/>
      <c r="F97" s="166"/>
      <c r="G97" s="166"/>
      <c r="H97" s="67"/>
      <c r="I97" s="67"/>
      <c r="J97" s="67"/>
      <c r="K97" s="67"/>
      <c r="L97" s="67"/>
      <c r="M97" s="67"/>
      <c r="N97" s="67"/>
    </row>
    <row r="98" spans="1:19" x14ac:dyDescent="0.25">
      <c r="B98" s="166"/>
      <c r="C98" s="97"/>
      <c r="D98" s="97"/>
      <c r="E98" s="166"/>
      <c r="F98" s="166"/>
      <c r="G98" s="166"/>
    </row>
    <row r="99" spans="1:19" x14ac:dyDescent="0.25">
      <c r="B99" s="166"/>
      <c r="C99" s="97"/>
      <c r="D99" s="97"/>
      <c r="E99" s="166"/>
      <c r="F99" s="166"/>
      <c r="G99" s="166"/>
    </row>
    <row r="100" spans="1:19" x14ac:dyDescent="0.25">
      <c r="B100" s="166"/>
      <c r="C100" s="97"/>
      <c r="D100" s="97"/>
      <c r="E100" s="166"/>
      <c r="F100" s="166"/>
      <c r="G100" s="166"/>
    </row>
    <row r="101" spans="1:19" s="69" customFormat="1" x14ac:dyDescent="0.25">
      <c r="A101" s="60"/>
      <c r="B101" s="60"/>
      <c r="C101" s="97"/>
      <c r="D101" s="97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</row>
    <row r="102" spans="1:19" s="69" customFormat="1" x14ac:dyDescent="0.25">
      <c r="A102" s="60"/>
      <c r="B102" s="60"/>
      <c r="C102" s="97"/>
      <c r="D102" s="97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</row>
  </sheetData>
  <autoFilter ref="A4:N93" xr:uid="{00000000-0009-0000-0000-000000000000}"/>
  <pageMargins left="0.51181102362204722" right="0.51181102362204722" top="0.47244094488188981" bottom="0.47244094488188981" header="0.31496062992125984" footer="0.31496062992125984"/>
  <pageSetup paperSize="9" scale="76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BB349-53AF-4818-B030-92DF73715C70}">
  <sheetPr>
    <tabColor rgb="FF00B050"/>
  </sheetPr>
  <dimension ref="B2:C142"/>
  <sheetViews>
    <sheetView topLeftCell="A137" workbookViewId="0">
      <selection activeCell="F23" sqref="E23:F24"/>
    </sheetView>
  </sheetViews>
  <sheetFormatPr defaultRowHeight="15" x14ac:dyDescent="0.25"/>
  <cols>
    <col min="2" max="2" width="51" customWidth="1"/>
    <col min="3" max="3" width="16.5703125" customWidth="1"/>
  </cols>
  <sheetData>
    <row r="2" spans="2:3" x14ac:dyDescent="0.25">
      <c r="B2" s="253" t="s">
        <v>251</v>
      </c>
      <c r="C2" s="254"/>
    </row>
    <row r="4" spans="2:3" x14ac:dyDescent="0.25">
      <c r="B4" s="252" t="s">
        <v>216</v>
      </c>
      <c r="C4" s="252" t="s">
        <v>217</v>
      </c>
    </row>
    <row r="5" spans="2:3" x14ac:dyDescent="0.25">
      <c r="B5" s="252"/>
      <c r="C5" s="252"/>
    </row>
    <row r="6" spans="2:3" x14ac:dyDescent="0.25">
      <c r="B6" s="73" t="s">
        <v>33</v>
      </c>
      <c r="C6" s="347">
        <v>5000</v>
      </c>
    </row>
    <row r="7" spans="2:3" x14ac:dyDescent="0.25">
      <c r="B7" s="73" t="s">
        <v>34</v>
      </c>
      <c r="C7" s="347">
        <v>5000</v>
      </c>
    </row>
    <row r="8" spans="2:3" x14ac:dyDescent="0.25">
      <c r="B8" s="77" t="s">
        <v>16</v>
      </c>
      <c r="C8" s="347">
        <v>5000</v>
      </c>
    </row>
    <row r="9" spans="2:3" x14ac:dyDescent="0.25">
      <c r="B9" s="73" t="s">
        <v>35</v>
      </c>
      <c r="C9" s="347">
        <v>5000</v>
      </c>
    </row>
    <row r="10" spans="2:3" x14ac:dyDescent="0.25">
      <c r="B10" s="36" t="s">
        <v>36</v>
      </c>
      <c r="C10" s="347">
        <v>5000</v>
      </c>
    </row>
    <row r="11" spans="2:3" x14ac:dyDescent="0.25">
      <c r="B11" s="73" t="s">
        <v>219</v>
      </c>
      <c r="C11" s="347">
        <v>5000</v>
      </c>
    </row>
    <row r="12" spans="2:3" x14ac:dyDescent="0.25">
      <c r="B12" s="73" t="s">
        <v>17</v>
      </c>
      <c r="C12" s="347">
        <v>5000</v>
      </c>
    </row>
    <row r="13" spans="2:3" x14ac:dyDescent="0.25">
      <c r="B13" s="73" t="s">
        <v>37</v>
      </c>
      <c r="C13" s="347">
        <v>5000</v>
      </c>
    </row>
    <row r="14" spans="2:3" x14ac:dyDescent="0.25">
      <c r="B14" s="153" t="s">
        <v>116</v>
      </c>
      <c r="C14" s="347">
        <v>5000</v>
      </c>
    </row>
    <row r="15" spans="2:3" x14ac:dyDescent="0.25">
      <c r="B15" s="73" t="s">
        <v>105</v>
      </c>
      <c r="C15" s="347">
        <v>5000</v>
      </c>
    </row>
    <row r="16" spans="2:3" x14ac:dyDescent="0.25">
      <c r="B16" s="73" t="s">
        <v>19</v>
      </c>
      <c r="C16" s="347">
        <v>5000</v>
      </c>
    </row>
    <row r="17" spans="2:3" x14ac:dyDescent="0.25">
      <c r="B17" s="73" t="s">
        <v>117</v>
      </c>
      <c r="C17" s="347">
        <v>5000</v>
      </c>
    </row>
    <row r="18" spans="2:3" x14ac:dyDescent="0.25">
      <c r="B18" s="73" t="s">
        <v>38</v>
      </c>
      <c r="C18" s="347">
        <v>5000</v>
      </c>
    </row>
    <row r="19" spans="2:3" x14ac:dyDescent="0.25">
      <c r="B19" s="73" t="s">
        <v>20</v>
      </c>
      <c r="C19" s="347">
        <v>5000</v>
      </c>
    </row>
    <row r="20" spans="2:3" x14ac:dyDescent="0.25">
      <c r="B20" s="73" t="s">
        <v>39</v>
      </c>
      <c r="C20" s="347">
        <v>5000</v>
      </c>
    </row>
    <row r="21" spans="2:3" x14ac:dyDescent="0.25">
      <c r="B21" s="73" t="s">
        <v>40</v>
      </c>
      <c r="C21" s="347">
        <v>5000</v>
      </c>
    </row>
    <row r="22" spans="2:3" x14ac:dyDescent="0.25">
      <c r="B22" s="73" t="s">
        <v>41</v>
      </c>
      <c r="C22" s="347">
        <v>5000</v>
      </c>
    </row>
    <row r="23" spans="2:3" x14ac:dyDescent="0.25">
      <c r="B23" s="73" t="s">
        <v>42</v>
      </c>
      <c r="C23" s="347">
        <v>5000</v>
      </c>
    </row>
    <row r="24" spans="2:3" x14ac:dyDescent="0.25">
      <c r="B24" s="73" t="s">
        <v>43</v>
      </c>
      <c r="C24" s="347">
        <v>5000</v>
      </c>
    </row>
    <row r="25" spans="2:3" x14ac:dyDescent="0.25">
      <c r="B25" s="73" t="s">
        <v>0</v>
      </c>
      <c r="C25" s="347">
        <v>5000</v>
      </c>
    </row>
    <row r="26" spans="2:3" ht="14.25" customHeight="1" x14ac:dyDescent="0.25">
      <c r="B26" s="73" t="s">
        <v>44</v>
      </c>
      <c r="C26" s="347">
        <v>5000</v>
      </c>
    </row>
    <row r="27" spans="2:3" x14ac:dyDescent="0.25">
      <c r="B27" s="73" t="s">
        <v>45</v>
      </c>
      <c r="C27" s="347">
        <v>5000</v>
      </c>
    </row>
    <row r="28" spans="2:3" x14ac:dyDescent="0.25">
      <c r="B28" s="77" t="s">
        <v>1</v>
      </c>
      <c r="C28" s="347">
        <v>5000</v>
      </c>
    </row>
    <row r="29" spans="2:3" x14ac:dyDescent="0.25">
      <c r="B29" s="73" t="s">
        <v>118</v>
      </c>
      <c r="C29" s="347">
        <v>5000</v>
      </c>
    </row>
    <row r="30" spans="2:3" x14ac:dyDescent="0.25">
      <c r="B30" s="73" t="s">
        <v>241</v>
      </c>
      <c r="C30" s="347">
        <v>5000</v>
      </c>
    </row>
    <row r="31" spans="2:3" x14ac:dyDescent="0.25">
      <c r="B31" s="73" t="s">
        <v>46</v>
      </c>
      <c r="C31" s="347">
        <v>5000</v>
      </c>
    </row>
    <row r="32" spans="2:3" x14ac:dyDescent="0.25">
      <c r="B32" s="73" t="s">
        <v>47</v>
      </c>
      <c r="C32" s="347">
        <v>5000</v>
      </c>
    </row>
    <row r="33" spans="2:3" x14ac:dyDescent="0.25">
      <c r="B33" s="77" t="s">
        <v>2</v>
      </c>
      <c r="C33" s="347">
        <v>5000</v>
      </c>
    </row>
    <row r="34" spans="2:3" ht="14.25" customHeight="1" x14ac:dyDescent="0.25">
      <c r="B34" s="73" t="s">
        <v>48</v>
      </c>
      <c r="C34" s="347">
        <v>5000</v>
      </c>
    </row>
    <row r="35" spans="2:3" ht="14.25" customHeight="1" x14ac:dyDescent="0.25">
      <c r="B35" s="73" t="s">
        <v>119</v>
      </c>
      <c r="C35" s="347">
        <v>5000</v>
      </c>
    </row>
    <row r="36" spans="2:3" ht="14.25" customHeight="1" x14ac:dyDescent="0.25">
      <c r="B36" s="73" t="s">
        <v>49</v>
      </c>
      <c r="C36" s="347">
        <v>5000</v>
      </c>
    </row>
    <row r="37" spans="2:3" x14ac:dyDescent="0.25">
      <c r="B37" s="73" t="s">
        <v>3</v>
      </c>
      <c r="C37" s="347">
        <v>5000</v>
      </c>
    </row>
    <row r="38" spans="2:3" x14ac:dyDescent="0.25">
      <c r="B38" s="73" t="s">
        <v>50</v>
      </c>
      <c r="C38" s="347">
        <v>5000</v>
      </c>
    </row>
    <row r="39" spans="2:3" x14ac:dyDescent="0.25">
      <c r="B39" s="73" t="s">
        <v>121</v>
      </c>
      <c r="C39" s="347">
        <v>5000</v>
      </c>
    </row>
    <row r="40" spans="2:3" x14ac:dyDescent="0.25">
      <c r="B40" s="73" t="s">
        <v>51</v>
      </c>
      <c r="C40" s="347">
        <v>5000</v>
      </c>
    </row>
    <row r="41" spans="2:3" x14ac:dyDescent="0.25">
      <c r="B41" s="73" t="s">
        <v>52</v>
      </c>
      <c r="C41" s="347">
        <v>5000</v>
      </c>
    </row>
    <row r="42" spans="2:3" x14ac:dyDescent="0.25">
      <c r="B42" s="73" t="s">
        <v>21</v>
      </c>
      <c r="C42" s="347">
        <v>5000</v>
      </c>
    </row>
    <row r="43" spans="2:3" x14ac:dyDescent="0.25">
      <c r="B43" s="73" t="s">
        <v>53</v>
      </c>
      <c r="C43" s="347">
        <v>5000</v>
      </c>
    </row>
    <row r="44" spans="2:3" x14ac:dyDescent="0.25">
      <c r="B44" s="73" t="s">
        <v>54</v>
      </c>
      <c r="C44" s="347">
        <v>5000</v>
      </c>
    </row>
    <row r="45" spans="2:3" x14ac:dyDescent="0.25">
      <c r="B45" s="73" t="s">
        <v>55</v>
      </c>
      <c r="C45" s="347">
        <v>5000</v>
      </c>
    </row>
    <row r="46" spans="2:3" x14ac:dyDescent="0.25">
      <c r="B46" s="73" t="s">
        <v>56</v>
      </c>
      <c r="C46" s="347">
        <v>5000</v>
      </c>
    </row>
    <row r="47" spans="2:3" x14ac:dyDescent="0.25">
      <c r="B47" s="73" t="s">
        <v>57</v>
      </c>
      <c r="C47" s="347">
        <v>5000</v>
      </c>
    </row>
    <row r="48" spans="2:3" x14ac:dyDescent="0.25">
      <c r="B48" s="73" t="s">
        <v>220</v>
      </c>
      <c r="C48" s="347">
        <v>5000</v>
      </c>
    </row>
    <row r="49" spans="2:3" x14ac:dyDescent="0.25">
      <c r="B49" s="73" t="s">
        <v>122</v>
      </c>
      <c r="C49" s="347">
        <v>5000</v>
      </c>
    </row>
    <row r="50" spans="2:3" x14ac:dyDescent="0.25">
      <c r="B50" s="153" t="s">
        <v>114</v>
      </c>
      <c r="C50" s="347">
        <v>5000</v>
      </c>
    </row>
    <row r="51" spans="2:3" x14ac:dyDescent="0.25">
      <c r="B51" s="77" t="s">
        <v>4</v>
      </c>
      <c r="C51" s="347">
        <v>5000</v>
      </c>
    </row>
    <row r="52" spans="2:3" x14ac:dyDescent="0.25">
      <c r="B52" s="73" t="s">
        <v>22</v>
      </c>
      <c r="C52" s="347">
        <v>5000</v>
      </c>
    </row>
    <row r="53" spans="2:3" x14ac:dyDescent="0.25">
      <c r="B53" s="73" t="s">
        <v>23</v>
      </c>
      <c r="C53" s="347">
        <v>5000</v>
      </c>
    </row>
    <row r="54" spans="2:3" x14ac:dyDescent="0.25">
      <c r="B54" s="73" t="s">
        <v>5</v>
      </c>
      <c r="C54" s="347">
        <v>5000</v>
      </c>
    </row>
    <row r="55" spans="2:3" x14ac:dyDescent="0.25">
      <c r="B55" s="73" t="s">
        <v>123</v>
      </c>
      <c r="C55" s="347">
        <v>5000</v>
      </c>
    </row>
    <row r="56" spans="2:3" x14ac:dyDescent="0.25">
      <c r="B56" s="77" t="s">
        <v>24</v>
      </c>
      <c r="C56" s="347">
        <v>5000</v>
      </c>
    </row>
    <row r="57" spans="2:3" x14ac:dyDescent="0.25">
      <c r="B57" s="77" t="s">
        <v>6</v>
      </c>
      <c r="C57" s="347">
        <v>5000</v>
      </c>
    </row>
    <row r="58" spans="2:3" x14ac:dyDescent="0.25">
      <c r="B58" s="73" t="s">
        <v>221</v>
      </c>
      <c r="C58" s="347">
        <v>5000</v>
      </c>
    </row>
    <row r="59" spans="2:3" x14ac:dyDescent="0.25">
      <c r="B59" s="73" t="s">
        <v>7</v>
      </c>
      <c r="C59" s="347">
        <v>5000</v>
      </c>
    </row>
    <row r="60" spans="2:3" x14ac:dyDescent="0.25">
      <c r="B60" s="73" t="s">
        <v>58</v>
      </c>
      <c r="C60" s="347">
        <v>5000</v>
      </c>
    </row>
    <row r="61" spans="2:3" x14ac:dyDescent="0.25">
      <c r="B61" s="73" t="s">
        <v>59</v>
      </c>
      <c r="C61" s="347">
        <v>5000</v>
      </c>
    </row>
    <row r="62" spans="2:3" x14ac:dyDescent="0.25">
      <c r="B62" s="73" t="s">
        <v>25</v>
      </c>
      <c r="C62" s="347">
        <v>5000</v>
      </c>
    </row>
    <row r="63" spans="2:3" x14ac:dyDescent="0.25">
      <c r="B63" s="73" t="s">
        <v>60</v>
      </c>
      <c r="C63" s="347">
        <v>5000</v>
      </c>
    </row>
    <row r="64" spans="2:3" x14ac:dyDescent="0.25">
      <c r="B64" s="73" t="s">
        <v>26</v>
      </c>
      <c r="C64" s="347">
        <v>5000</v>
      </c>
    </row>
    <row r="65" spans="2:3" x14ac:dyDescent="0.25">
      <c r="B65" s="73" t="s">
        <v>124</v>
      </c>
      <c r="C65" s="347">
        <v>5000</v>
      </c>
    </row>
    <row r="66" spans="2:3" x14ac:dyDescent="0.25">
      <c r="B66" s="73" t="s">
        <v>242</v>
      </c>
      <c r="C66" s="347">
        <v>5000</v>
      </c>
    </row>
    <row r="67" spans="2:3" x14ac:dyDescent="0.25">
      <c r="B67" s="73" t="s">
        <v>61</v>
      </c>
      <c r="C67" s="347">
        <v>5000</v>
      </c>
    </row>
    <row r="68" spans="2:3" x14ac:dyDescent="0.25">
      <c r="B68" s="73" t="s">
        <v>107</v>
      </c>
      <c r="C68" s="347">
        <v>5000</v>
      </c>
    </row>
    <row r="69" spans="2:3" x14ac:dyDescent="0.25">
      <c r="B69" s="77" t="s">
        <v>8</v>
      </c>
      <c r="C69" s="347">
        <v>5000</v>
      </c>
    </row>
    <row r="70" spans="2:3" x14ac:dyDescent="0.25">
      <c r="B70" s="73" t="s">
        <v>108</v>
      </c>
      <c r="C70" s="347">
        <v>5000</v>
      </c>
    </row>
    <row r="71" spans="2:3" x14ac:dyDescent="0.25">
      <c r="B71" s="73" t="s">
        <v>62</v>
      </c>
      <c r="C71" s="347">
        <v>5000</v>
      </c>
    </row>
    <row r="72" spans="2:3" x14ac:dyDescent="0.25">
      <c r="B72" s="73" t="s">
        <v>27</v>
      </c>
      <c r="C72" s="347">
        <v>5000</v>
      </c>
    </row>
    <row r="73" spans="2:3" x14ac:dyDescent="0.25">
      <c r="B73" s="36" t="s">
        <v>63</v>
      </c>
      <c r="C73" s="347">
        <v>5000</v>
      </c>
    </row>
    <row r="74" spans="2:3" x14ac:dyDescent="0.25">
      <c r="B74" s="36" t="s">
        <v>64</v>
      </c>
      <c r="C74" s="347">
        <v>5000</v>
      </c>
    </row>
    <row r="75" spans="2:3" x14ac:dyDescent="0.25">
      <c r="B75" s="73" t="s">
        <v>65</v>
      </c>
      <c r="C75" s="347">
        <v>5000</v>
      </c>
    </row>
    <row r="76" spans="2:3" x14ac:dyDescent="0.25">
      <c r="B76" s="73" t="s">
        <v>126</v>
      </c>
      <c r="C76" s="347">
        <v>5000</v>
      </c>
    </row>
    <row r="77" spans="2:3" x14ac:dyDescent="0.25">
      <c r="B77" s="73" t="s">
        <v>66</v>
      </c>
      <c r="C77" s="347">
        <v>5000</v>
      </c>
    </row>
    <row r="78" spans="2:3" x14ac:dyDescent="0.25">
      <c r="B78" s="77" t="s">
        <v>9</v>
      </c>
      <c r="C78" s="347">
        <v>5000</v>
      </c>
    </row>
    <row r="79" spans="2:3" x14ac:dyDescent="0.25">
      <c r="B79" s="73" t="s">
        <v>127</v>
      </c>
      <c r="C79" s="347">
        <v>5000</v>
      </c>
    </row>
    <row r="80" spans="2:3" x14ac:dyDescent="0.25">
      <c r="B80" s="73" t="s">
        <v>67</v>
      </c>
      <c r="C80" s="347">
        <v>5000</v>
      </c>
    </row>
    <row r="81" spans="2:3" x14ac:dyDescent="0.25">
      <c r="B81" s="73" t="s">
        <v>68</v>
      </c>
      <c r="C81" s="347">
        <v>5000</v>
      </c>
    </row>
    <row r="82" spans="2:3" x14ac:dyDescent="0.25">
      <c r="B82" s="73" t="s">
        <v>109</v>
      </c>
      <c r="C82" s="347">
        <v>5000</v>
      </c>
    </row>
    <row r="83" spans="2:3" x14ac:dyDescent="0.25">
      <c r="B83" s="73" t="s">
        <v>69</v>
      </c>
      <c r="C83" s="347">
        <v>5000</v>
      </c>
    </row>
    <row r="84" spans="2:3" x14ac:dyDescent="0.25">
      <c r="B84" s="73" t="s">
        <v>70</v>
      </c>
      <c r="C84" s="347">
        <v>5000</v>
      </c>
    </row>
    <row r="85" spans="2:3" x14ac:dyDescent="0.25">
      <c r="B85" s="73" t="s">
        <v>128</v>
      </c>
      <c r="C85" s="347">
        <v>5000</v>
      </c>
    </row>
    <row r="86" spans="2:3" x14ac:dyDescent="0.25">
      <c r="B86" s="73" t="s">
        <v>71</v>
      </c>
      <c r="C86" s="347">
        <v>5000</v>
      </c>
    </row>
    <row r="87" spans="2:3" x14ac:dyDescent="0.25">
      <c r="B87" s="73" t="s">
        <v>72</v>
      </c>
      <c r="C87" s="347">
        <v>5000</v>
      </c>
    </row>
    <row r="88" spans="2:3" x14ac:dyDescent="0.25">
      <c r="B88" s="73" t="s">
        <v>73</v>
      </c>
      <c r="C88" s="347">
        <v>5000</v>
      </c>
    </row>
    <row r="89" spans="2:3" x14ac:dyDescent="0.25">
      <c r="B89" s="73" t="s">
        <v>129</v>
      </c>
      <c r="C89" s="347">
        <v>5000</v>
      </c>
    </row>
    <row r="90" spans="2:3" x14ac:dyDescent="0.25">
      <c r="B90" s="73" t="s">
        <v>28</v>
      </c>
      <c r="C90" s="347">
        <v>5000</v>
      </c>
    </row>
    <row r="91" spans="2:3" x14ac:dyDescent="0.25">
      <c r="B91" s="36" t="s">
        <v>74</v>
      </c>
      <c r="C91" s="347">
        <v>5000</v>
      </c>
    </row>
    <row r="92" spans="2:3" x14ac:dyDescent="0.25">
      <c r="B92" s="73" t="s">
        <v>29</v>
      </c>
      <c r="C92" s="347">
        <v>5000</v>
      </c>
    </row>
    <row r="93" spans="2:3" x14ac:dyDescent="0.25">
      <c r="B93" s="73" t="s">
        <v>110</v>
      </c>
      <c r="C93" s="347">
        <v>5000</v>
      </c>
    </row>
    <row r="94" spans="2:3" x14ac:dyDescent="0.25">
      <c r="B94" s="121" t="s">
        <v>75</v>
      </c>
      <c r="C94" s="347">
        <v>5000</v>
      </c>
    </row>
    <row r="95" spans="2:3" x14ac:dyDescent="0.25">
      <c r="B95" s="73" t="s">
        <v>10</v>
      </c>
      <c r="C95" s="347">
        <v>5000</v>
      </c>
    </row>
    <row r="96" spans="2:3" x14ac:dyDescent="0.25">
      <c r="B96" s="121" t="s">
        <v>76</v>
      </c>
      <c r="C96" s="347">
        <v>5000</v>
      </c>
    </row>
    <row r="97" spans="2:3" x14ac:dyDescent="0.25">
      <c r="B97" s="73" t="s">
        <v>130</v>
      </c>
      <c r="C97" s="347">
        <v>5000</v>
      </c>
    </row>
    <row r="98" spans="2:3" x14ac:dyDescent="0.25">
      <c r="B98" s="73" t="s">
        <v>77</v>
      </c>
      <c r="C98" s="347">
        <v>5000</v>
      </c>
    </row>
    <row r="99" spans="2:3" x14ac:dyDescent="0.25">
      <c r="B99" s="73" t="s">
        <v>11</v>
      </c>
      <c r="C99" s="347">
        <v>5000</v>
      </c>
    </row>
    <row r="100" spans="2:3" x14ac:dyDescent="0.25">
      <c r="B100" s="73" t="s">
        <v>78</v>
      </c>
      <c r="C100" s="347">
        <v>5000</v>
      </c>
    </row>
    <row r="101" spans="2:3" x14ac:dyDescent="0.25">
      <c r="B101" s="73" t="s">
        <v>131</v>
      </c>
      <c r="C101" s="347">
        <v>5000</v>
      </c>
    </row>
    <row r="102" spans="2:3" x14ac:dyDescent="0.25">
      <c r="B102" s="77" t="s">
        <v>12</v>
      </c>
      <c r="C102" s="347">
        <v>5000</v>
      </c>
    </row>
    <row r="103" spans="2:3" x14ac:dyDescent="0.25">
      <c r="B103" s="77" t="s">
        <v>13</v>
      </c>
      <c r="C103" s="347">
        <v>5000</v>
      </c>
    </row>
    <row r="104" spans="2:3" x14ac:dyDescent="0.25">
      <c r="B104" s="73" t="s">
        <v>79</v>
      </c>
      <c r="C104" s="347">
        <v>5000</v>
      </c>
    </row>
    <row r="105" spans="2:3" x14ac:dyDescent="0.25">
      <c r="B105" s="73" t="s">
        <v>111</v>
      </c>
      <c r="C105" s="347">
        <v>5000</v>
      </c>
    </row>
    <row r="106" spans="2:3" x14ac:dyDescent="0.25">
      <c r="B106" s="73" t="s">
        <v>80</v>
      </c>
      <c r="C106" s="347">
        <v>5000</v>
      </c>
    </row>
    <row r="107" spans="2:3" x14ac:dyDescent="0.25">
      <c r="B107" s="36" t="s">
        <v>81</v>
      </c>
      <c r="C107" s="347">
        <v>5000</v>
      </c>
    </row>
    <row r="108" spans="2:3" x14ac:dyDescent="0.25">
      <c r="B108" s="158" t="s">
        <v>14</v>
      </c>
      <c r="C108" s="347">
        <v>5000</v>
      </c>
    </row>
    <row r="109" spans="2:3" x14ac:dyDescent="0.25">
      <c r="B109" s="73" t="s">
        <v>82</v>
      </c>
      <c r="C109" s="347">
        <v>5000</v>
      </c>
    </row>
    <row r="110" spans="2:3" x14ac:dyDescent="0.25">
      <c r="B110" s="73" t="s">
        <v>30</v>
      </c>
      <c r="C110" s="347">
        <v>5000</v>
      </c>
    </row>
    <row r="111" spans="2:3" x14ac:dyDescent="0.25">
      <c r="B111" s="73" t="s">
        <v>112</v>
      </c>
      <c r="C111" s="347">
        <v>5000</v>
      </c>
    </row>
    <row r="112" spans="2:3" x14ac:dyDescent="0.25">
      <c r="B112" s="153" t="s">
        <v>83</v>
      </c>
      <c r="C112" s="347">
        <v>5000</v>
      </c>
    </row>
    <row r="113" spans="2:3" x14ac:dyDescent="0.25">
      <c r="B113" s="73" t="s">
        <v>132</v>
      </c>
      <c r="C113" s="347">
        <v>5000</v>
      </c>
    </row>
    <row r="114" spans="2:3" x14ac:dyDescent="0.25">
      <c r="B114" s="73" t="s">
        <v>133</v>
      </c>
      <c r="C114" s="347">
        <v>5000</v>
      </c>
    </row>
    <row r="115" spans="2:3" x14ac:dyDescent="0.25">
      <c r="B115" s="73" t="s">
        <v>84</v>
      </c>
      <c r="C115" s="347">
        <v>5000</v>
      </c>
    </row>
    <row r="116" spans="2:3" x14ac:dyDescent="0.25">
      <c r="B116" s="73" t="s">
        <v>31</v>
      </c>
      <c r="C116" s="347">
        <v>5000</v>
      </c>
    </row>
    <row r="117" spans="2:3" x14ac:dyDescent="0.25">
      <c r="B117" s="73" t="s">
        <v>85</v>
      </c>
      <c r="C117" s="347">
        <v>5000</v>
      </c>
    </row>
    <row r="118" spans="2:3" x14ac:dyDescent="0.25">
      <c r="B118" s="73" t="s">
        <v>86</v>
      </c>
      <c r="C118" s="347">
        <v>5000</v>
      </c>
    </row>
    <row r="119" spans="2:3" x14ac:dyDescent="0.25">
      <c r="B119" s="73" t="s">
        <v>32</v>
      </c>
      <c r="C119" s="347">
        <v>5000</v>
      </c>
    </row>
    <row r="120" spans="2:3" x14ac:dyDescent="0.25">
      <c r="B120" s="73" t="s">
        <v>87</v>
      </c>
      <c r="C120" s="347">
        <v>5000</v>
      </c>
    </row>
    <row r="121" spans="2:3" x14ac:dyDescent="0.25">
      <c r="B121" s="73" t="s">
        <v>88</v>
      </c>
      <c r="C121" s="347">
        <v>5000</v>
      </c>
    </row>
    <row r="122" spans="2:3" x14ac:dyDescent="0.25">
      <c r="B122" s="73" t="s">
        <v>89</v>
      </c>
      <c r="C122" s="347">
        <v>5000</v>
      </c>
    </row>
    <row r="123" spans="2:3" x14ac:dyDescent="0.25">
      <c r="B123" s="73" t="s">
        <v>113</v>
      </c>
      <c r="C123" s="347">
        <v>5000</v>
      </c>
    </row>
    <row r="124" spans="2:3" x14ac:dyDescent="0.25">
      <c r="B124" s="73" t="s">
        <v>222</v>
      </c>
      <c r="C124" s="347">
        <v>5000</v>
      </c>
    </row>
    <row r="125" spans="2:3" x14ac:dyDescent="0.25">
      <c r="B125" s="73" t="s">
        <v>90</v>
      </c>
      <c r="C125" s="347">
        <v>5000</v>
      </c>
    </row>
    <row r="126" spans="2:3" x14ac:dyDescent="0.25">
      <c r="B126" s="73" t="s">
        <v>91</v>
      </c>
      <c r="C126" s="347">
        <v>5000</v>
      </c>
    </row>
    <row r="127" spans="2:3" x14ac:dyDescent="0.25">
      <c r="B127" s="73" t="s">
        <v>92</v>
      </c>
      <c r="C127" s="347">
        <v>5000</v>
      </c>
    </row>
    <row r="128" spans="2:3" x14ac:dyDescent="0.25">
      <c r="B128" s="73" t="s">
        <v>93</v>
      </c>
      <c r="C128" s="347">
        <v>5000</v>
      </c>
    </row>
    <row r="129" spans="2:3" x14ac:dyDescent="0.25">
      <c r="B129" s="73" t="s">
        <v>94</v>
      </c>
      <c r="C129" s="347">
        <v>5000</v>
      </c>
    </row>
    <row r="130" spans="2:3" x14ac:dyDescent="0.25">
      <c r="B130" s="73" t="s">
        <v>95</v>
      </c>
      <c r="C130" s="347">
        <v>5000</v>
      </c>
    </row>
    <row r="131" spans="2:3" x14ac:dyDescent="0.25">
      <c r="B131" s="73" t="s">
        <v>223</v>
      </c>
      <c r="C131" s="347">
        <v>5000</v>
      </c>
    </row>
    <row r="132" spans="2:3" x14ac:dyDescent="0.25">
      <c r="B132" s="77" t="s">
        <v>15</v>
      </c>
      <c r="C132" s="347">
        <v>5000</v>
      </c>
    </row>
    <row r="133" spans="2:3" x14ac:dyDescent="0.25">
      <c r="B133" s="73" t="s">
        <v>134</v>
      </c>
      <c r="C133" s="347">
        <v>5000</v>
      </c>
    </row>
    <row r="134" spans="2:3" x14ac:dyDescent="0.25">
      <c r="B134" s="73" t="s">
        <v>135</v>
      </c>
      <c r="C134" s="347">
        <v>5000</v>
      </c>
    </row>
    <row r="135" spans="2:3" x14ac:dyDescent="0.25">
      <c r="B135" s="73" t="s">
        <v>96</v>
      </c>
      <c r="C135" s="347">
        <v>5000</v>
      </c>
    </row>
    <row r="136" spans="2:3" x14ac:dyDescent="0.25">
      <c r="B136" s="73" t="s">
        <v>97</v>
      </c>
      <c r="C136" s="347">
        <v>5000</v>
      </c>
    </row>
    <row r="137" spans="2:3" x14ac:dyDescent="0.25">
      <c r="B137" s="73" t="s">
        <v>136</v>
      </c>
      <c r="C137" s="347">
        <v>5000</v>
      </c>
    </row>
    <row r="138" spans="2:3" x14ac:dyDescent="0.25">
      <c r="B138" s="73" t="s">
        <v>98</v>
      </c>
      <c r="C138" s="347">
        <v>5000</v>
      </c>
    </row>
    <row r="139" spans="2:3" x14ac:dyDescent="0.25">
      <c r="B139" s="36" t="s">
        <v>99</v>
      </c>
      <c r="C139" s="347">
        <v>5000</v>
      </c>
    </row>
    <row r="140" spans="2:3" x14ac:dyDescent="0.25">
      <c r="B140" s="73" t="s">
        <v>100</v>
      </c>
      <c r="C140" s="347">
        <v>5000</v>
      </c>
    </row>
    <row r="141" spans="2:3" x14ac:dyDescent="0.25">
      <c r="B141" s="73" t="s">
        <v>101</v>
      </c>
      <c r="C141" s="347">
        <v>5000</v>
      </c>
    </row>
    <row r="142" spans="2:3" x14ac:dyDescent="0.25">
      <c r="B142" s="252"/>
      <c r="C142" s="347">
        <f>SUM(C6:C141)</f>
        <v>680000</v>
      </c>
    </row>
  </sheetData>
  <sortState xmlns:xlrd2="http://schemas.microsoft.com/office/spreadsheetml/2017/richdata2" ref="B6:C142">
    <sortCondition ref="B6:B142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7C10D-C61F-4CB3-95C6-7CD962AFB875}">
  <dimension ref="A1:AF22"/>
  <sheetViews>
    <sheetView tabSelected="1" topLeftCell="P1" workbookViewId="0">
      <selection activeCell="AI5" sqref="AI5"/>
    </sheetView>
  </sheetViews>
  <sheetFormatPr defaultRowHeight="15" x14ac:dyDescent="0.25"/>
  <cols>
    <col min="1" max="1" width="36" customWidth="1"/>
    <col min="2" max="7" width="11.5703125" hidden="1" customWidth="1"/>
    <col min="8" max="23" width="9.140625" customWidth="1"/>
    <col min="24" max="24" width="16.5703125" customWidth="1"/>
    <col min="25" max="25" width="13" customWidth="1"/>
    <col min="26" max="26" width="14.85546875" customWidth="1"/>
    <col min="27" max="27" width="14" customWidth="1"/>
    <col min="28" max="28" width="13.7109375" customWidth="1"/>
    <col min="29" max="29" width="13.85546875" customWidth="1"/>
    <col min="30" max="30" width="0" hidden="1" customWidth="1"/>
    <col min="31" max="31" width="13.5703125" hidden="1" customWidth="1"/>
    <col min="32" max="32" width="12" hidden="1" customWidth="1"/>
  </cols>
  <sheetData>
    <row r="1" spans="1:32" x14ac:dyDescent="0.25">
      <c r="A1" s="486" t="s">
        <v>216</v>
      </c>
      <c r="H1" s="483" t="s">
        <v>316</v>
      </c>
      <c r="I1" s="484"/>
      <c r="J1" s="484"/>
      <c r="K1" s="485"/>
      <c r="L1" s="483" t="s">
        <v>317</v>
      </c>
      <c r="M1" s="484"/>
      <c r="N1" s="484"/>
      <c r="O1" s="485"/>
      <c r="P1" s="483" t="s">
        <v>318</v>
      </c>
      <c r="Q1" s="484"/>
      <c r="R1" s="484"/>
      <c r="S1" s="485"/>
      <c r="T1" s="483" t="s">
        <v>319</v>
      </c>
      <c r="U1" s="484"/>
      <c r="V1" s="484"/>
      <c r="W1" s="468"/>
      <c r="X1" s="471" t="s">
        <v>323</v>
      </c>
      <c r="Y1" s="472" t="s">
        <v>320</v>
      </c>
      <c r="Z1" s="473" t="s">
        <v>320</v>
      </c>
      <c r="AA1" s="474" t="s">
        <v>320</v>
      </c>
      <c r="AB1" s="475" t="s">
        <v>320</v>
      </c>
      <c r="AC1" s="476" t="s">
        <v>320</v>
      </c>
      <c r="AD1" s="254"/>
      <c r="AE1" s="252" t="s">
        <v>267</v>
      </c>
      <c r="AF1" s="252" t="s">
        <v>212</v>
      </c>
    </row>
    <row r="2" spans="1:32" x14ac:dyDescent="0.25">
      <c r="H2" s="469"/>
      <c r="I2" s="470"/>
      <c r="J2" s="470"/>
      <c r="K2" s="487" t="s">
        <v>321</v>
      </c>
      <c r="L2" s="469"/>
      <c r="M2" s="470"/>
      <c r="N2" s="470"/>
      <c r="O2" s="487" t="s">
        <v>321</v>
      </c>
      <c r="P2" s="469"/>
      <c r="Q2" s="470"/>
      <c r="R2" s="470"/>
      <c r="S2" s="487" t="s">
        <v>321</v>
      </c>
      <c r="T2" s="469"/>
      <c r="U2" s="470"/>
      <c r="V2" s="470"/>
      <c r="W2" s="487" t="s">
        <v>321</v>
      </c>
      <c r="X2" s="477" t="s">
        <v>325</v>
      </c>
      <c r="Y2" s="478" t="s">
        <v>322</v>
      </c>
      <c r="Z2" s="479" t="s">
        <v>324</v>
      </c>
      <c r="AA2" s="480" t="s">
        <v>322</v>
      </c>
      <c r="AB2" s="481" t="s">
        <v>326</v>
      </c>
      <c r="AC2" s="482" t="s">
        <v>322</v>
      </c>
      <c r="AD2" s="254"/>
      <c r="AE2" s="252"/>
      <c r="AF2" s="252"/>
    </row>
    <row r="3" spans="1:32" x14ac:dyDescent="0.25">
      <c r="A3" s="455" t="s">
        <v>37</v>
      </c>
      <c r="B3" s="416">
        <v>35.43</v>
      </c>
      <c r="C3" s="416">
        <f>B3/6</f>
        <v>5.9050000000000002</v>
      </c>
      <c r="D3" s="416">
        <f>SUM(B3+C3)*12%</f>
        <v>4.9601999999999995</v>
      </c>
      <c r="E3" s="417">
        <v>0</v>
      </c>
      <c r="F3" s="418">
        <f>SUM(B3+C3)*E3%</f>
        <v>0</v>
      </c>
      <c r="G3" s="418">
        <f>SUM(B3+C3+D3+F3)</f>
        <v>46.295200000000001</v>
      </c>
      <c r="H3" s="419">
        <v>20</v>
      </c>
      <c r="I3" s="419">
        <v>8</v>
      </c>
      <c r="J3" s="419">
        <f>H3*60</f>
        <v>1200</v>
      </c>
      <c r="K3" s="420">
        <f>(J3+I3)/50</f>
        <v>24.16</v>
      </c>
      <c r="L3" s="421">
        <v>20</v>
      </c>
      <c r="M3" s="421">
        <v>8</v>
      </c>
      <c r="N3" s="421">
        <f>L3*60</f>
        <v>1200</v>
      </c>
      <c r="O3" s="422">
        <f>(N3+M3)/50</f>
        <v>24.16</v>
      </c>
      <c r="P3" s="423">
        <v>18</v>
      </c>
      <c r="Q3" s="423">
        <v>8</v>
      </c>
      <c r="R3" s="423">
        <f>P3*60</f>
        <v>1080</v>
      </c>
      <c r="S3" s="424">
        <f>(R3+Q3)/50</f>
        <v>21.76</v>
      </c>
      <c r="T3" s="425">
        <v>18</v>
      </c>
      <c r="U3" s="425">
        <v>8</v>
      </c>
      <c r="V3" s="425">
        <f>T3*60</f>
        <v>1080</v>
      </c>
      <c r="W3" s="426">
        <f>(V3+U3)/50</f>
        <v>21.76</v>
      </c>
      <c r="X3" s="419">
        <v>0</v>
      </c>
      <c r="Y3" s="427">
        <v>0</v>
      </c>
      <c r="Z3" s="421">
        <v>0</v>
      </c>
      <c r="AA3" s="428">
        <v>0</v>
      </c>
      <c r="AB3" s="423">
        <f>W3-S3</f>
        <v>0</v>
      </c>
      <c r="AC3" s="429">
        <f>AB3*G3</f>
        <v>0</v>
      </c>
      <c r="AD3" s="426">
        <v>0</v>
      </c>
      <c r="AE3" s="430">
        <f t="shared" ref="AE3:AE20" si="0">AD3*G3</f>
        <v>0</v>
      </c>
      <c r="AF3" s="430">
        <f>AE3*8%</f>
        <v>0</v>
      </c>
    </row>
    <row r="4" spans="1:32" x14ac:dyDescent="0.25">
      <c r="A4" s="455" t="s">
        <v>19</v>
      </c>
      <c r="B4" s="416">
        <v>51.52</v>
      </c>
      <c r="C4" s="416">
        <f t="shared" ref="C4:C20" si="1">B4/6</f>
        <v>8.5866666666666678</v>
      </c>
      <c r="D4" s="416">
        <f t="shared" ref="D4:D20" si="2">SUM(B4+C4)*12%</f>
        <v>7.2127999999999997</v>
      </c>
      <c r="E4" s="417">
        <v>5</v>
      </c>
      <c r="F4" s="418">
        <f t="shared" ref="F4:F20" si="3">SUM(B4+C4)*E4%</f>
        <v>3.0053333333333336</v>
      </c>
      <c r="G4" s="418">
        <f t="shared" ref="G4:G20" si="4">SUM(B4+C4+D4+F4)</f>
        <v>70.32480000000001</v>
      </c>
      <c r="H4" s="419">
        <v>43</v>
      </c>
      <c r="I4" s="419">
        <v>31</v>
      </c>
      <c r="J4" s="419">
        <f t="shared" ref="J4:J20" si="5">H4*60</f>
        <v>2580</v>
      </c>
      <c r="K4" s="420">
        <f t="shared" ref="K4:K20" si="6">(J4+I4)/50</f>
        <v>52.22</v>
      </c>
      <c r="L4" s="421">
        <v>43</v>
      </c>
      <c r="M4" s="421">
        <v>31</v>
      </c>
      <c r="N4" s="421">
        <f t="shared" ref="N4:N20" si="7">L4*60</f>
        <v>2580</v>
      </c>
      <c r="O4" s="422">
        <f t="shared" ref="O4:O20" si="8">(N4+M4)/50</f>
        <v>52.22</v>
      </c>
      <c r="P4" s="423">
        <v>38</v>
      </c>
      <c r="Q4" s="423">
        <v>9</v>
      </c>
      <c r="R4" s="423">
        <f t="shared" ref="R4:R20" si="9">P4*60</f>
        <v>2280</v>
      </c>
      <c r="S4" s="424">
        <f t="shared" ref="S4:S20" si="10">(R4+Q4)/50</f>
        <v>45.78</v>
      </c>
      <c r="T4" s="425">
        <v>51</v>
      </c>
      <c r="U4" s="425">
        <v>45</v>
      </c>
      <c r="V4" s="425">
        <f t="shared" ref="V4:V20" si="11">T4*60</f>
        <v>3060</v>
      </c>
      <c r="W4" s="426">
        <f t="shared" ref="W4:W20" si="12">(V4+U4)/50</f>
        <v>62.1</v>
      </c>
      <c r="X4" s="419">
        <f t="shared" ref="X4:X20" si="13">W4-K4</f>
        <v>9.8800000000000026</v>
      </c>
      <c r="Y4" s="427">
        <f t="shared" ref="Y4:Y20" si="14">X4*G4</f>
        <v>694.80902400000025</v>
      </c>
      <c r="Z4" s="421">
        <f t="shared" ref="Z4:Z20" si="15">W4-O4</f>
        <v>9.8800000000000026</v>
      </c>
      <c r="AA4" s="428">
        <f t="shared" ref="AA4:AA20" si="16">Z4*G4</f>
        <v>694.80902400000025</v>
      </c>
      <c r="AB4" s="423">
        <f t="shared" ref="AB4:AB20" si="17">W4-S4</f>
        <v>16.32</v>
      </c>
      <c r="AC4" s="429">
        <f t="shared" ref="AC4:AC20" si="18">AB4*G4</f>
        <v>1147.7007360000002</v>
      </c>
      <c r="AD4" s="426">
        <f t="shared" ref="AD4:AD20" si="19">X4+Z4+AB4</f>
        <v>36.080000000000005</v>
      </c>
      <c r="AE4" s="430">
        <f t="shared" si="0"/>
        <v>2537.318784000001</v>
      </c>
      <c r="AF4" s="430">
        <f t="shared" ref="AF4:AF21" si="20">AE4*8%</f>
        <v>202.98550272000008</v>
      </c>
    </row>
    <row r="5" spans="1:32" x14ac:dyDescent="0.25">
      <c r="A5" s="455" t="s">
        <v>38</v>
      </c>
      <c r="B5" s="416">
        <v>43.87</v>
      </c>
      <c r="C5" s="416">
        <f t="shared" si="1"/>
        <v>7.3116666666666665</v>
      </c>
      <c r="D5" s="416">
        <f t="shared" si="2"/>
        <v>6.1417999999999999</v>
      </c>
      <c r="E5" s="417">
        <v>0</v>
      </c>
      <c r="F5" s="418">
        <f t="shared" si="3"/>
        <v>0</v>
      </c>
      <c r="G5" s="418">
        <f t="shared" si="4"/>
        <v>57.323466666666661</v>
      </c>
      <c r="H5" s="419">
        <v>40</v>
      </c>
      <c r="I5" s="419">
        <v>18</v>
      </c>
      <c r="J5" s="419">
        <f t="shared" si="5"/>
        <v>2400</v>
      </c>
      <c r="K5" s="420">
        <f t="shared" si="6"/>
        <v>48.36</v>
      </c>
      <c r="L5" s="421">
        <v>40</v>
      </c>
      <c r="M5" s="421">
        <v>18</v>
      </c>
      <c r="N5" s="421">
        <f t="shared" si="7"/>
        <v>2400</v>
      </c>
      <c r="O5" s="422">
        <f t="shared" si="8"/>
        <v>48.36</v>
      </c>
      <c r="P5" s="423">
        <v>40</v>
      </c>
      <c r="Q5" s="423">
        <v>18</v>
      </c>
      <c r="R5" s="423">
        <f t="shared" si="9"/>
        <v>2400</v>
      </c>
      <c r="S5" s="424">
        <f t="shared" si="10"/>
        <v>48.36</v>
      </c>
      <c r="T5" s="425">
        <v>54</v>
      </c>
      <c r="U5" s="425">
        <v>0</v>
      </c>
      <c r="V5" s="425">
        <f t="shared" si="11"/>
        <v>3240</v>
      </c>
      <c r="W5" s="426">
        <f t="shared" si="12"/>
        <v>64.8</v>
      </c>
      <c r="X5" s="419">
        <f t="shared" si="13"/>
        <v>16.439999999999998</v>
      </c>
      <c r="Y5" s="427">
        <f t="shared" si="14"/>
        <v>942.39779199999975</v>
      </c>
      <c r="Z5" s="421">
        <f t="shared" si="15"/>
        <v>16.439999999999998</v>
      </c>
      <c r="AA5" s="428">
        <f t="shared" si="16"/>
        <v>942.39779199999975</v>
      </c>
      <c r="AB5" s="423">
        <f t="shared" si="17"/>
        <v>16.439999999999998</v>
      </c>
      <c r="AC5" s="429">
        <f t="shared" si="18"/>
        <v>942.39779199999975</v>
      </c>
      <c r="AD5" s="426">
        <f t="shared" si="19"/>
        <v>49.319999999999993</v>
      </c>
      <c r="AE5" s="430">
        <f t="shared" si="0"/>
        <v>2827.1933759999993</v>
      </c>
      <c r="AF5" s="430">
        <f t="shared" si="20"/>
        <v>226.17547007999994</v>
      </c>
    </row>
    <row r="6" spans="1:32" x14ac:dyDescent="0.25">
      <c r="A6" s="455" t="s">
        <v>42</v>
      </c>
      <c r="B6" s="416">
        <v>35.43</v>
      </c>
      <c r="C6" s="416">
        <f t="shared" si="1"/>
        <v>5.9050000000000002</v>
      </c>
      <c r="D6" s="416">
        <f t="shared" si="2"/>
        <v>4.9601999999999995</v>
      </c>
      <c r="E6" s="417">
        <v>0</v>
      </c>
      <c r="F6" s="418">
        <f t="shared" si="3"/>
        <v>0</v>
      </c>
      <c r="G6" s="418">
        <f t="shared" si="4"/>
        <v>46.295200000000001</v>
      </c>
      <c r="H6" s="419">
        <v>20</v>
      </c>
      <c r="I6" s="419">
        <v>8</v>
      </c>
      <c r="J6" s="419">
        <f t="shared" si="5"/>
        <v>1200</v>
      </c>
      <c r="K6" s="420">
        <f t="shared" si="6"/>
        <v>24.16</v>
      </c>
      <c r="L6" s="421">
        <v>20</v>
      </c>
      <c r="M6" s="421">
        <v>8</v>
      </c>
      <c r="N6" s="421">
        <f t="shared" si="7"/>
        <v>1200</v>
      </c>
      <c r="O6" s="422">
        <f t="shared" si="8"/>
        <v>24.16</v>
      </c>
      <c r="P6" s="423">
        <v>20</v>
      </c>
      <c r="Q6" s="423">
        <v>8</v>
      </c>
      <c r="R6" s="423">
        <f t="shared" si="9"/>
        <v>1200</v>
      </c>
      <c r="S6" s="424">
        <f t="shared" si="10"/>
        <v>24.16</v>
      </c>
      <c r="T6" s="425">
        <v>22</v>
      </c>
      <c r="U6" s="425">
        <v>18</v>
      </c>
      <c r="V6" s="425">
        <f t="shared" si="11"/>
        <v>1320</v>
      </c>
      <c r="W6" s="426">
        <f t="shared" si="12"/>
        <v>26.76</v>
      </c>
      <c r="X6" s="419">
        <f t="shared" si="13"/>
        <v>2.6000000000000014</v>
      </c>
      <c r="Y6" s="427">
        <f t="shared" si="14"/>
        <v>120.36752000000007</v>
      </c>
      <c r="Z6" s="421">
        <f t="shared" si="15"/>
        <v>2.6000000000000014</v>
      </c>
      <c r="AA6" s="428">
        <f t="shared" si="16"/>
        <v>120.36752000000007</v>
      </c>
      <c r="AB6" s="423">
        <f t="shared" si="17"/>
        <v>2.6000000000000014</v>
      </c>
      <c r="AC6" s="429">
        <f t="shared" si="18"/>
        <v>120.36752000000007</v>
      </c>
      <c r="AD6" s="426">
        <f t="shared" si="19"/>
        <v>7.8000000000000043</v>
      </c>
      <c r="AE6" s="430">
        <f t="shared" si="0"/>
        <v>361.10256000000021</v>
      </c>
      <c r="AF6" s="430">
        <f t="shared" si="20"/>
        <v>28.888204800000018</v>
      </c>
    </row>
    <row r="7" spans="1:32" x14ac:dyDescent="0.25">
      <c r="A7" s="455" t="s">
        <v>1</v>
      </c>
      <c r="B7" s="416">
        <v>84.72</v>
      </c>
      <c r="C7" s="416">
        <f t="shared" si="1"/>
        <v>14.12</v>
      </c>
      <c r="D7" s="416">
        <f t="shared" si="2"/>
        <v>11.860799999999999</v>
      </c>
      <c r="E7" s="417">
        <v>5</v>
      </c>
      <c r="F7" s="418">
        <f t="shared" si="3"/>
        <v>4.9420000000000002</v>
      </c>
      <c r="G7" s="418">
        <f t="shared" si="4"/>
        <v>115.64279999999999</v>
      </c>
      <c r="H7" s="419">
        <v>13</v>
      </c>
      <c r="I7" s="419">
        <v>18</v>
      </c>
      <c r="J7" s="419">
        <f t="shared" si="5"/>
        <v>780</v>
      </c>
      <c r="K7" s="420">
        <f t="shared" si="6"/>
        <v>15.96</v>
      </c>
      <c r="L7" s="421">
        <v>13</v>
      </c>
      <c r="M7" s="421">
        <v>18</v>
      </c>
      <c r="N7" s="421">
        <f t="shared" si="7"/>
        <v>780</v>
      </c>
      <c r="O7" s="422">
        <f t="shared" si="8"/>
        <v>15.96</v>
      </c>
      <c r="P7" s="423">
        <v>13</v>
      </c>
      <c r="Q7" s="423">
        <v>18</v>
      </c>
      <c r="R7" s="423">
        <f t="shared" si="9"/>
        <v>780</v>
      </c>
      <c r="S7" s="424">
        <f t="shared" si="10"/>
        <v>15.96</v>
      </c>
      <c r="T7" s="425">
        <v>18</v>
      </c>
      <c r="U7" s="425"/>
      <c r="V7" s="425">
        <f t="shared" si="11"/>
        <v>1080</v>
      </c>
      <c r="W7" s="426">
        <f t="shared" si="12"/>
        <v>21.6</v>
      </c>
      <c r="X7" s="419">
        <f t="shared" si="13"/>
        <v>5.6400000000000006</v>
      </c>
      <c r="Y7" s="427">
        <f t="shared" si="14"/>
        <v>652.22539200000006</v>
      </c>
      <c r="Z7" s="421">
        <f t="shared" si="15"/>
        <v>5.6400000000000006</v>
      </c>
      <c r="AA7" s="428">
        <f t="shared" si="16"/>
        <v>652.22539200000006</v>
      </c>
      <c r="AB7" s="423">
        <f t="shared" si="17"/>
        <v>5.6400000000000006</v>
      </c>
      <c r="AC7" s="429">
        <f t="shared" si="18"/>
        <v>652.22539200000006</v>
      </c>
      <c r="AD7" s="426">
        <f t="shared" si="19"/>
        <v>16.920000000000002</v>
      </c>
      <c r="AE7" s="430">
        <f t="shared" si="0"/>
        <v>1956.6761760000002</v>
      </c>
      <c r="AF7" s="430">
        <f t="shared" si="20"/>
        <v>156.53409408000002</v>
      </c>
    </row>
    <row r="8" spans="1:32" x14ac:dyDescent="0.25">
      <c r="A8" s="455" t="s">
        <v>3</v>
      </c>
      <c r="B8" s="416">
        <v>75.38</v>
      </c>
      <c r="C8" s="416">
        <f t="shared" si="1"/>
        <v>12.563333333333333</v>
      </c>
      <c r="D8" s="416">
        <f t="shared" si="2"/>
        <v>10.553199999999999</v>
      </c>
      <c r="E8" s="417">
        <v>10</v>
      </c>
      <c r="F8" s="418">
        <f t="shared" si="3"/>
        <v>8.7943333333333324</v>
      </c>
      <c r="G8" s="418">
        <f t="shared" si="4"/>
        <v>107.29086666666666</v>
      </c>
      <c r="H8" s="419">
        <v>16</v>
      </c>
      <c r="I8" s="419">
        <v>31</v>
      </c>
      <c r="J8" s="419">
        <f t="shared" si="5"/>
        <v>960</v>
      </c>
      <c r="K8" s="420">
        <f t="shared" si="6"/>
        <v>19.82</v>
      </c>
      <c r="L8" s="421">
        <v>16</v>
      </c>
      <c r="M8" s="421">
        <v>31</v>
      </c>
      <c r="N8" s="421">
        <f t="shared" si="7"/>
        <v>960</v>
      </c>
      <c r="O8" s="422">
        <f t="shared" si="8"/>
        <v>19.82</v>
      </c>
      <c r="P8" s="423">
        <v>16</v>
      </c>
      <c r="Q8" s="423">
        <v>10</v>
      </c>
      <c r="R8" s="423">
        <f t="shared" si="9"/>
        <v>960</v>
      </c>
      <c r="S8" s="424">
        <f t="shared" si="10"/>
        <v>19.399999999999999</v>
      </c>
      <c r="T8" s="425">
        <v>20</v>
      </c>
      <c r="U8" s="425">
        <v>15</v>
      </c>
      <c r="V8" s="425">
        <f t="shared" si="11"/>
        <v>1200</v>
      </c>
      <c r="W8" s="426">
        <f t="shared" si="12"/>
        <v>24.3</v>
      </c>
      <c r="X8" s="419">
        <f t="shared" si="13"/>
        <v>4.4800000000000004</v>
      </c>
      <c r="Y8" s="427">
        <f t="shared" si="14"/>
        <v>480.6630826666667</v>
      </c>
      <c r="Z8" s="421">
        <f t="shared" si="15"/>
        <v>4.4800000000000004</v>
      </c>
      <c r="AA8" s="428">
        <f t="shared" si="16"/>
        <v>480.6630826666667</v>
      </c>
      <c r="AB8" s="423">
        <f t="shared" si="17"/>
        <v>4.9000000000000021</v>
      </c>
      <c r="AC8" s="429">
        <f t="shared" si="18"/>
        <v>525.72524666666686</v>
      </c>
      <c r="AD8" s="426">
        <f t="shared" si="19"/>
        <v>13.860000000000003</v>
      </c>
      <c r="AE8" s="430">
        <f t="shared" si="0"/>
        <v>1487.0514120000003</v>
      </c>
      <c r="AF8" s="430">
        <f t="shared" si="20"/>
        <v>118.96411296000002</v>
      </c>
    </row>
    <row r="9" spans="1:32" x14ac:dyDescent="0.25">
      <c r="A9" s="455" t="s">
        <v>53</v>
      </c>
      <c r="B9" s="416">
        <v>35.43</v>
      </c>
      <c r="C9" s="416">
        <f t="shared" si="1"/>
        <v>5.9050000000000002</v>
      </c>
      <c r="D9" s="416">
        <f t="shared" si="2"/>
        <v>4.9601999999999995</v>
      </c>
      <c r="E9" s="417">
        <v>0</v>
      </c>
      <c r="F9" s="418">
        <f t="shared" si="3"/>
        <v>0</v>
      </c>
      <c r="G9" s="418">
        <f t="shared" si="4"/>
        <v>46.295200000000001</v>
      </c>
      <c r="H9" s="419">
        <v>37</v>
      </c>
      <c r="I9" s="419">
        <v>4</v>
      </c>
      <c r="J9" s="419">
        <f t="shared" si="5"/>
        <v>2220</v>
      </c>
      <c r="K9" s="420">
        <f t="shared" si="6"/>
        <v>44.48</v>
      </c>
      <c r="L9" s="421">
        <v>37</v>
      </c>
      <c r="M9" s="421">
        <v>4</v>
      </c>
      <c r="N9" s="421">
        <f t="shared" si="7"/>
        <v>2220</v>
      </c>
      <c r="O9" s="422">
        <f t="shared" si="8"/>
        <v>44.48</v>
      </c>
      <c r="P9" s="423">
        <v>37</v>
      </c>
      <c r="Q9" s="423">
        <v>4</v>
      </c>
      <c r="R9" s="423">
        <f t="shared" si="9"/>
        <v>2220</v>
      </c>
      <c r="S9" s="424">
        <f t="shared" si="10"/>
        <v>44.48</v>
      </c>
      <c r="T9" s="425">
        <v>39</v>
      </c>
      <c r="U9" s="425">
        <v>22</v>
      </c>
      <c r="V9" s="425">
        <f t="shared" si="11"/>
        <v>2340</v>
      </c>
      <c r="W9" s="426">
        <f t="shared" si="12"/>
        <v>47.24</v>
      </c>
      <c r="X9" s="419">
        <f t="shared" si="13"/>
        <v>2.7600000000000051</v>
      </c>
      <c r="Y9" s="427">
        <f t="shared" si="14"/>
        <v>127.77475200000023</v>
      </c>
      <c r="Z9" s="421">
        <f t="shared" si="15"/>
        <v>2.7600000000000051</v>
      </c>
      <c r="AA9" s="428">
        <f t="shared" si="16"/>
        <v>127.77475200000023</v>
      </c>
      <c r="AB9" s="423">
        <f t="shared" si="17"/>
        <v>2.7600000000000051</v>
      </c>
      <c r="AC9" s="429">
        <f t="shared" si="18"/>
        <v>127.77475200000023</v>
      </c>
      <c r="AD9" s="426">
        <f t="shared" si="19"/>
        <v>8.2800000000000153</v>
      </c>
      <c r="AE9" s="430">
        <f t="shared" si="0"/>
        <v>383.32425600000073</v>
      </c>
      <c r="AF9" s="430">
        <f t="shared" si="20"/>
        <v>30.66594048000006</v>
      </c>
    </row>
    <row r="10" spans="1:32" x14ac:dyDescent="0.25">
      <c r="A10" s="455" t="s">
        <v>26</v>
      </c>
      <c r="B10" s="416">
        <v>51.52</v>
      </c>
      <c r="C10" s="416">
        <f t="shared" si="1"/>
        <v>8.5866666666666678</v>
      </c>
      <c r="D10" s="416">
        <f t="shared" si="2"/>
        <v>7.2127999999999997</v>
      </c>
      <c r="E10" s="417">
        <v>5</v>
      </c>
      <c r="F10" s="418">
        <f t="shared" si="3"/>
        <v>3.0053333333333336</v>
      </c>
      <c r="G10" s="418">
        <f t="shared" si="4"/>
        <v>70.32480000000001</v>
      </c>
      <c r="H10" s="419">
        <v>43</v>
      </c>
      <c r="I10" s="419">
        <v>31</v>
      </c>
      <c r="J10" s="419">
        <f t="shared" si="5"/>
        <v>2580</v>
      </c>
      <c r="K10" s="420">
        <f t="shared" si="6"/>
        <v>52.22</v>
      </c>
      <c r="L10" s="421">
        <v>43</v>
      </c>
      <c r="M10" s="421">
        <v>31</v>
      </c>
      <c r="N10" s="421">
        <f t="shared" si="7"/>
        <v>2580</v>
      </c>
      <c r="O10" s="422">
        <f t="shared" si="8"/>
        <v>52.22</v>
      </c>
      <c r="P10" s="423">
        <v>33</v>
      </c>
      <c r="Q10" s="423">
        <v>35</v>
      </c>
      <c r="R10" s="423">
        <f t="shared" si="9"/>
        <v>1980</v>
      </c>
      <c r="S10" s="424">
        <f t="shared" si="10"/>
        <v>40.299999999999997</v>
      </c>
      <c r="T10" s="425">
        <v>36</v>
      </c>
      <c r="U10" s="425">
        <v>0</v>
      </c>
      <c r="V10" s="425">
        <f t="shared" si="11"/>
        <v>2160</v>
      </c>
      <c r="W10" s="426">
        <f t="shared" si="12"/>
        <v>43.2</v>
      </c>
      <c r="X10" s="419">
        <v>0</v>
      </c>
      <c r="Y10" s="427">
        <v>0</v>
      </c>
      <c r="Z10" s="421">
        <v>0</v>
      </c>
      <c r="AA10" s="428">
        <v>0</v>
      </c>
      <c r="AB10" s="423">
        <f t="shared" si="17"/>
        <v>2.9000000000000057</v>
      </c>
      <c r="AC10" s="429">
        <f t="shared" si="18"/>
        <v>203.94192000000044</v>
      </c>
      <c r="AD10" s="426">
        <f>AB10</f>
        <v>2.9000000000000057</v>
      </c>
      <c r="AE10" s="430">
        <f t="shared" si="0"/>
        <v>203.94192000000044</v>
      </c>
      <c r="AF10" s="430">
        <f t="shared" si="20"/>
        <v>16.315353600000034</v>
      </c>
    </row>
    <row r="11" spans="1:32" x14ac:dyDescent="0.25">
      <c r="A11" s="455" t="s">
        <v>8</v>
      </c>
      <c r="B11" s="416">
        <v>95.54</v>
      </c>
      <c r="C11" s="416">
        <f t="shared" si="1"/>
        <v>15.923333333333334</v>
      </c>
      <c r="D11" s="416">
        <f t="shared" si="2"/>
        <v>13.3756</v>
      </c>
      <c r="E11" s="417">
        <v>15</v>
      </c>
      <c r="F11" s="418">
        <f t="shared" si="3"/>
        <v>16.7195</v>
      </c>
      <c r="G11" s="418">
        <f t="shared" si="4"/>
        <v>141.55843333333334</v>
      </c>
      <c r="H11" s="419">
        <v>40</v>
      </c>
      <c r="I11" s="419">
        <v>17</v>
      </c>
      <c r="J11" s="419">
        <f t="shared" si="5"/>
        <v>2400</v>
      </c>
      <c r="K11" s="420">
        <f t="shared" si="6"/>
        <v>48.34</v>
      </c>
      <c r="L11" s="421">
        <v>40</v>
      </c>
      <c r="M11" s="421">
        <v>17</v>
      </c>
      <c r="N11" s="421">
        <f t="shared" si="7"/>
        <v>2400</v>
      </c>
      <c r="O11" s="422">
        <f t="shared" si="8"/>
        <v>48.34</v>
      </c>
      <c r="P11" s="423">
        <v>38</v>
      </c>
      <c r="Q11" s="423">
        <v>14</v>
      </c>
      <c r="R11" s="423">
        <f t="shared" si="9"/>
        <v>2280</v>
      </c>
      <c r="S11" s="424">
        <f t="shared" si="10"/>
        <v>45.88</v>
      </c>
      <c r="T11" s="425">
        <v>49</v>
      </c>
      <c r="U11" s="425">
        <v>30</v>
      </c>
      <c r="V11" s="425">
        <f t="shared" si="11"/>
        <v>2940</v>
      </c>
      <c r="W11" s="426">
        <f t="shared" si="12"/>
        <v>59.4</v>
      </c>
      <c r="X11" s="419">
        <f t="shared" si="13"/>
        <v>11.059999999999995</v>
      </c>
      <c r="Y11" s="427">
        <f t="shared" si="14"/>
        <v>1565.6362726666662</v>
      </c>
      <c r="Z11" s="421">
        <f t="shared" si="15"/>
        <v>11.059999999999995</v>
      </c>
      <c r="AA11" s="428">
        <f t="shared" si="16"/>
        <v>1565.6362726666662</v>
      </c>
      <c r="AB11" s="423">
        <f t="shared" si="17"/>
        <v>13.519999999999996</v>
      </c>
      <c r="AC11" s="429">
        <f t="shared" si="18"/>
        <v>1913.8700186666663</v>
      </c>
      <c r="AD11" s="426">
        <f t="shared" si="19"/>
        <v>35.639999999999986</v>
      </c>
      <c r="AE11" s="430">
        <f t="shared" si="0"/>
        <v>5045.1425639999979</v>
      </c>
      <c r="AF11" s="430">
        <f t="shared" si="20"/>
        <v>403.61140511999986</v>
      </c>
    </row>
    <row r="12" spans="1:32" x14ac:dyDescent="0.25">
      <c r="A12" s="455" t="s">
        <v>27</v>
      </c>
      <c r="B12" s="416">
        <v>51.52</v>
      </c>
      <c r="C12" s="416">
        <f t="shared" si="1"/>
        <v>8.5866666666666678</v>
      </c>
      <c r="D12" s="416">
        <f t="shared" si="2"/>
        <v>7.2127999999999997</v>
      </c>
      <c r="E12" s="417">
        <v>10</v>
      </c>
      <c r="F12" s="418">
        <f t="shared" si="3"/>
        <v>6.0106666666666673</v>
      </c>
      <c r="G12" s="418">
        <f t="shared" si="4"/>
        <v>73.330133333333336</v>
      </c>
      <c r="H12" s="419">
        <v>6</v>
      </c>
      <c r="I12" s="419">
        <v>45</v>
      </c>
      <c r="J12" s="419">
        <f t="shared" si="5"/>
        <v>360</v>
      </c>
      <c r="K12" s="420">
        <f t="shared" si="6"/>
        <v>8.1</v>
      </c>
      <c r="L12" s="421">
        <v>6</v>
      </c>
      <c r="M12" s="421">
        <v>45</v>
      </c>
      <c r="N12" s="421">
        <f t="shared" si="7"/>
        <v>360</v>
      </c>
      <c r="O12" s="422">
        <f t="shared" si="8"/>
        <v>8.1</v>
      </c>
      <c r="P12" s="423">
        <v>6</v>
      </c>
      <c r="Q12" s="423">
        <v>45</v>
      </c>
      <c r="R12" s="423">
        <f t="shared" si="9"/>
        <v>360</v>
      </c>
      <c r="S12" s="424">
        <f t="shared" si="10"/>
        <v>8.1</v>
      </c>
      <c r="T12" s="425">
        <v>9</v>
      </c>
      <c r="U12" s="425">
        <v>0</v>
      </c>
      <c r="V12" s="425">
        <f t="shared" si="11"/>
        <v>540</v>
      </c>
      <c r="W12" s="426">
        <f t="shared" si="12"/>
        <v>10.8</v>
      </c>
      <c r="X12" s="419">
        <f t="shared" si="13"/>
        <v>2.7000000000000011</v>
      </c>
      <c r="Y12" s="427">
        <f t="shared" si="14"/>
        <v>197.9913600000001</v>
      </c>
      <c r="Z12" s="421">
        <f t="shared" si="15"/>
        <v>2.7000000000000011</v>
      </c>
      <c r="AA12" s="428">
        <f t="shared" si="16"/>
        <v>197.9913600000001</v>
      </c>
      <c r="AB12" s="423">
        <f t="shared" si="17"/>
        <v>2.7000000000000011</v>
      </c>
      <c r="AC12" s="429">
        <f t="shared" si="18"/>
        <v>197.9913600000001</v>
      </c>
      <c r="AD12" s="426">
        <f t="shared" si="19"/>
        <v>8.1000000000000032</v>
      </c>
      <c r="AE12" s="430">
        <f t="shared" si="0"/>
        <v>593.9740800000003</v>
      </c>
      <c r="AF12" s="430">
        <f t="shared" si="20"/>
        <v>47.517926400000022</v>
      </c>
    </row>
    <row r="13" spans="1:32" x14ac:dyDescent="0.25">
      <c r="A13" s="455" t="s">
        <v>274</v>
      </c>
      <c r="B13" s="416">
        <v>35.43</v>
      </c>
      <c r="C13" s="416">
        <f t="shared" si="1"/>
        <v>5.9050000000000002</v>
      </c>
      <c r="D13" s="416">
        <f t="shared" si="2"/>
        <v>4.9601999999999995</v>
      </c>
      <c r="E13" s="417">
        <v>0</v>
      </c>
      <c r="F13" s="418">
        <f t="shared" si="3"/>
        <v>0</v>
      </c>
      <c r="G13" s="418">
        <f t="shared" si="4"/>
        <v>46.295200000000001</v>
      </c>
      <c r="H13" s="419">
        <v>40</v>
      </c>
      <c r="I13" s="419">
        <v>18</v>
      </c>
      <c r="J13" s="419">
        <f t="shared" si="5"/>
        <v>2400</v>
      </c>
      <c r="K13" s="420">
        <f t="shared" si="6"/>
        <v>48.36</v>
      </c>
      <c r="L13" s="421">
        <v>40</v>
      </c>
      <c r="M13" s="421">
        <v>18</v>
      </c>
      <c r="N13" s="421">
        <f t="shared" si="7"/>
        <v>2400</v>
      </c>
      <c r="O13" s="422">
        <f t="shared" si="8"/>
        <v>48.36</v>
      </c>
      <c r="P13" s="423">
        <v>40</v>
      </c>
      <c r="Q13" s="423">
        <v>18</v>
      </c>
      <c r="R13" s="423">
        <f t="shared" si="9"/>
        <v>2400</v>
      </c>
      <c r="S13" s="424">
        <f t="shared" si="10"/>
        <v>48.36</v>
      </c>
      <c r="T13" s="425">
        <v>46</v>
      </c>
      <c r="U13" s="425">
        <v>7</v>
      </c>
      <c r="V13" s="425">
        <f t="shared" si="11"/>
        <v>2760</v>
      </c>
      <c r="W13" s="426">
        <f t="shared" si="12"/>
        <v>55.34</v>
      </c>
      <c r="X13" s="419">
        <f t="shared" si="13"/>
        <v>6.980000000000004</v>
      </c>
      <c r="Y13" s="427">
        <f t="shared" si="14"/>
        <v>323.14049600000021</v>
      </c>
      <c r="Z13" s="421">
        <f t="shared" si="15"/>
        <v>6.980000000000004</v>
      </c>
      <c r="AA13" s="428">
        <f t="shared" si="16"/>
        <v>323.14049600000021</v>
      </c>
      <c r="AB13" s="423">
        <f t="shared" si="17"/>
        <v>6.980000000000004</v>
      </c>
      <c r="AC13" s="429">
        <f t="shared" si="18"/>
        <v>323.14049600000021</v>
      </c>
      <c r="AD13" s="426">
        <f t="shared" si="19"/>
        <v>20.940000000000012</v>
      </c>
      <c r="AE13" s="430">
        <f t="shared" si="0"/>
        <v>969.42148800000052</v>
      </c>
      <c r="AF13" s="430">
        <f t="shared" si="20"/>
        <v>77.553719040000047</v>
      </c>
    </row>
    <row r="14" spans="1:32" x14ac:dyDescent="0.25">
      <c r="A14" s="455" t="s">
        <v>74</v>
      </c>
      <c r="B14" s="416">
        <v>43.87</v>
      </c>
      <c r="C14" s="416">
        <f t="shared" si="1"/>
        <v>7.3116666666666665</v>
      </c>
      <c r="D14" s="416">
        <f t="shared" si="2"/>
        <v>6.1417999999999999</v>
      </c>
      <c r="E14" s="417">
        <v>0</v>
      </c>
      <c r="F14" s="418">
        <f t="shared" si="3"/>
        <v>0</v>
      </c>
      <c r="G14" s="418">
        <f t="shared" si="4"/>
        <v>57.323466666666661</v>
      </c>
      <c r="H14" s="419">
        <v>77</v>
      </c>
      <c r="I14" s="419">
        <v>22</v>
      </c>
      <c r="J14" s="419">
        <f t="shared" si="5"/>
        <v>4620</v>
      </c>
      <c r="K14" s="420">
        <f t="shared" si="6"/>
        <v>92.84</v>
      </c>
      <c r="L14" s="421">
        <v>77</v>
      </c>
      <c r="M14" s="421">
        <v>22</v>
      </c>
      <c r="N14" s="421">
        <f t="shared" si="7"/>
        <v>4620</v>
      </c>
      <c r="O14" s="422">
        <f t="shared" si="8"/>
        <v>92.84</v>
      </c>
      <c r="P14" s="423">
        <v>62</v>
      </c>
      <c r="Q14" s="423">
        <v>35</v>
      </c>
      <c r="R14" s="423">
        <f t="shared" si="9"/>
        <v>3720</v>
      </c>
      <c r="S14" s="424">
        <f t="shared" si="10"/>
        <v>75.099999999999994</v>
      </c>
      <c r="T14" s="425">
        <v>96</v>
      </c>
      <c r="U14" s="425">
        <v>45</v>
      </c>
      <c r="V14" s="425">
        <f t="shared" si="11"/>
        <v>5760</v>
      </c>
      <c r="W14" s="426">
        <f t="shared" si="12"/>
        <v>116.1</v>
      </c>
      <c r="X14" s="419">
        <f t="shared" si="13"/>
        <v>23.259999999999991</v>
      </c>
      <c r="Y14" s="427">
        <f t="shared" si="14"/>
        <v>1333.343834666666</v>
      </c>
      <c r="Z14" s="421">
        <f t="shared" si="15"/>
        <v>23.259999999999991</v>
      </c>
      <c r="AA14" s="428">
        <f t="shared" si="16"/>
        <v>1333.343834666666</v>
      </c>
      <c r="AB14" s="423">
        <f t="shared" si="17"/>
        <v>41</v>
      </c>
      <c r="AC14" s="429">
        <f t="shared" si="18"/>
        <v>2350.2621333333332</v>
      </c>
      <c r="AD14" s="426">
        <f t="shared" si="19"/>
        <v>87.519999999999982</v>
      </c>
      <c r="AE14" s="430">
        <f t="shared" si="0"/>
        <v>5016.9498026666652</v>
      </c>
      <c r="AF14" s="430">
        <f t="shared" si="20"/>
        <v>401.35598421333322</v>
      </c>
    </row>
    <row r="15" spans="1:32" x14ac:dyDescent="0.25">
      <c r="A15" s="455" t="s">
        <v>77</v>
      </c>
      <c r="B15" s="416">
        <v>35.43</v>
      </c>
      <c r="C15" s="416">
        <f t="shared" si="1"/>
        <v>5.9050000000000002</v>
      </c>
      <c r="D15" s="416">
        <f t="shared" si="2"/>
        <v>4.9601999999999995</v>
      </c>
      <c r="E15" s="417">
        <v>0</v>
      </c>
      <c r="F15" s="418">
        <f t="shared" si="3"/>
        <v>0</v>
      </c>
      <c r="G15" s="418">
        <f t="shared" si="4"/>
        <v>46.295200000000001</v>
      </c>
      <c r="H15" s="419">
        <v>27</v>
      </c>
      <c r="I15" s="419">
        <v>0</v>
      </c>
      <c r="J15" s="419">
        <f t="shared" si="5"/>
        <v>1620</v>
      </c>
      <c r="K15" s="420">
        <f t="shared" si="6"/>
        <v>32.4</v>
      </c>
      <c r="L15" s="421">
        <v>27</v>
      </c>
      <c r="M15" s="421">
        <v>0</v>
      </c>
      <c r="N15" s="421">
        <f t="shared" si="7"/>
        <v>1620</v>
      </c>
      <c r="O15" s="422">
        <f t="shared" si="8"/>
        <v>32.4</v>
      </c>
      <c r="P15" s="423">
        <v>27</v>
      </c>
      <c r="Q15" s="423">
        <v>0</v>
      </c>
      <c r="R15" s="423">
        <f t="shared" si="9"/>
        <v>1620</v>
      </c>
      <c r="S15" s="424">
        <f t="shared" si="10"/>
        <v>32.4</v>
      </c>
      <c r="T15" s="425">
        <v>36</v>
      </c>
      <c r="U15" s="425">
        <v>0</v>
      </c>
      <c r="V15" s="425">
        <f t="shared" si="11"/>
        <v>2160</v>
      </c>
      <c r="W15" s="426">
        <f t="shared" si="12"/>
        <v>43.2</v>
      </c>
      <c r="X15" s="419">
        <f t="shared" si="13"/>
        <v>10.800000000000004</v>
      </c>
      <c r="Y15" s="427">
        <f t="shared" si="14"/>
        <v>499.98816000000022</v>
      </c>
      <c r="Z15" s="421">
        <f t="shared" si="15"/>
        <v>10.800000000000004</v>
      </c>
      <c r="AA15" s="428">
        <f t="shared" si="16"/>
        <v>499.98816000000022</v>
      </c>
      <c r="AB15" s="423">
        <f t="shared" si="17"/>
        <v>10.800000000000004</v>
      </c>
      <c r="AC15" s="429">
        <f t="shared" si="18"/>
        <v>499.98816000000022</v>
      </c>
      <c r="AD15" s="426">
        <f t="shared" si="19"/>
        <v>32.400000000000013</v>
      </c>
      <c r="AE15" s="430">
        <f t="shared" si="0"/>
        <v>1499.9644800000005</v>
      </c>
      <c r="AF15" s="430">
        <f t="shared" si="20"/>
        <v>119.99715840000005</v>
      </c>
    </row>
    <row r="16" spans="1:32" x14ac:dyDescent="0.25">
      <c r="A16" s="455" t="s">
        <v>104</v>
      </c>
      <c r="B16" s="416">
        <v>84.72</v>
      </c>
      <c r="C16" s="416">
        <f t="shared" si="1"/>
        <v>14.12</v>
      </c>
      <c r="D16" s="416">
        <f t="shared" si="2"/>
        <v>11.860799999999999</v>
      </c>
      <c r="E16" s="417">
        <v>10</v>
      </c>
      <c r="F16" s="418">
        <f t="shared" si="3"/>
        <v>9.8840000000000003</v>
      </c>
      <c r="G16" s="418">
        <f t="shared" si="4"/>
        <v>120.5848</v>
      </c>
      <c r="H16" s="419">
        <v>13</v>
      </c>
      <c r="I16" s="419">
        <v>18</v>
      </c>
      <c r="J16" s="419">
        <f t="shared" si="5"/>
        <v>780</v>
      </c>
      <c r="K16" s="420">
        <f t="shared" si="6"/>
        <v>15.96</v>
      </c>
      <c r="L16" s="421">
        <v>13</v>
      </c>
      <c r="M16" s="421">
        <v>18</v>
      </c>
      <c r="N16" s="421">
        <f t="shared" si="7"/>
        <v>780</v>
      </c>
      <c r="O16" s="422">
        <f t="shared" si="8"/>
        <v>15.96</v>
      </c>
      <c r="P16" s="423">
        <v>13</v>
      </c>
      <c r="Q16" s="423">
        <v>18</v>
      </c>
      <c r="R16" s="423">
        <f t="shared" si="9"/>
        <v>780</v>
      </c>
      <c r="S16" s="424">
        <f t="shared" si="10"/>
        <v>15.96</v>
      </c>
      <c r="T16" s="425">
        <v>18</v>
      </c>
      <c r="U16" s="425">
        <v>0</v>
      </c>
      <c r="V16" s="425">
        <f t="shared" si="11"/>
        <v>1080</v>
      </c>
      <c r="W16" s="426">
        <f t="shared" si="12"/>
        <v>21.6</v>
      </c>
      <c r="X16" s="419">
        <f t="shared" si="13"/>
        <v>5.6400000000000006</v>
      </c>
      <c r="Y16" s="427">
        <f t="shared" si="14"/>
        <v>680.09827200000007</v>
      </c>
      <c r="Z16" s="421">
        <f t="shared" si="15"/>
        <v>5.6400000000000006</v>
      </c>
      <c r="AA16" s="428">
        <f t="shared" si="16"/>
        <v>680.09827200000007</v>
      </c>
      <c r="AB16" s="423">
        <f t="shared" si="17"/>
        <v>5.6400000000000006</v>
      </c>
      <c r="AC16" s="429">
        <f t="shared" si="18"/>
        <v>680.09827200000007</v>
      </c>
      <c r="AD16" s="426">
        <f t="shared" si="19"/>
        <v>16.920000000000002</v>
      </c>
      <c r="AE16" s="430">
        <f t="shared" si="0"/>
        <v>2040.2948160000003</v>
      </c>
      <c r="AF16" s="430">
        <f t="shared" si="20"/>
        <v>163.22358528000004</v>
      </c>
    </row>
    <row r="17" spans="1:32" x14ac:dyDescent="0.25">
      <c r="A17" s="455" t="s">
        <v>31</v>
      </c>
      <c r="B17" s="416">
        <v>51.52</v>
      </c>
      <c r="C17" s="416">
        <f t="shared" si="1"/>
        <v>8.5866666666666678</v>
      </c>
      <c r="D17" s="416">
        <f t="shared" si="2"/>
        <v>7.2127999999999997</v>
      </c>
      <c r="E17" s="417">
        <v>10</v>
      </c>
      <c r="F17" s="418">
        <f t="shared" si="3"/>
        <v>6.0106666666666673</v>
      </c>
      <c r="G17" s="418">
        <f t="shared" si="4"/>
        <v>73.330133333333336</v>
      </c>
      <c r="H17" s="419">
        <v>33</v>
      </c>
      <c r="I17" s="419">
        <v>27</v>
      </c>
      <c r="J17" s="419">
        <f t="shared" si="5"/>
        <v>1980</v>
      </c>
      <c r="K17" s="420">
        <f t="shared" si="6"/>
        <v>40.14</v>
      </c>
      <c r="L17" s="421">
        <v>33</v>
      </c>
      <c r="M17" s="421">
        <v>27</v>
      </c>
      <c r="N17" s="421">
        <f t="shared" si="7"/>
        <v>1980</v>
      </c>
      <c r="O17" s="422">
        <f t="shared" si="8"/>
        <v>40.14</v>
      </c>
      <c r="P17" s="423">
        <v>33</v>
      </c>
      <c r="Q17" s="423">
        <v>27</v>
      </c>
      <c r="R17" s="423">
        <f t="shared" si="9"/>
        <v>1980</v>
      </c>
      <c r="S17" s="424">
        <f t="shared" si="10"/>
        <v>40.14</v>
      </c>
      <c r="T17" s="425">
        <v>45</v>
      </c>
      <c r="U17" s="425">
        <v>0</v>
      </c>
      <c r="V17" s="425">
        <f t="shared" si="11"/>
        <v>2700</v>
      </c>
      <c r="W17" s="426">
        <f t="shared" si="12"/>
        <v>54</v>
      </c>
      <c r="X17" s="419">
        <f t="shared" si="13"/>
        <v>13.86</v>
      </c>
      <c r="Y17" s="427">
        <f t="shared" si="14"/>
        <v>1016.355648</v>
      </c>
      <c r="Z17" s="421">
        <f t="shared" si="15"/>
        <v>13.86</v>
      </c>
      <c r="AA17" s="428">
        <f t="shared" si="16"/>
        <v>1016.355648</v>
      </c>
      <c r="AB17" s="423">
        <f t="shared" si="17"/>
        <v>13.86</v>
      </c>
      <c r="AC17" s="429">
        <f t="shared" si="18"/>
        <v>1016.355648</v>
      </c>
      <c r="AD17" s="426">
        <f t="shared" si="19"/>
        <v>41.58</v>
      </c>
      <c r="AE17" s="430">
        <f t="shared" si="0"/>
        <v>3049.0669440000001</v>
      </c>
      <c r="AF17" s="430">
        <f t="shared" si="20"/>
        <v>243.92535552000001</v>
      </c>
    </row>
    <row r="18" spans="1:32" x14ac:dyDescent="0.25">
      <c r="A18" s="455" t="s">
        <v>275</v>
      </c>
      <c r="B18" s="416">
        <v>51.52</v>
      </c>
      <c r="C18" s="416">
        <f t="shared" si="1"/>
        <v>8.5866666666666678</v>
      </c>
      <c r="D18" s="416">
        <f t="shared" si="2"/>
        <v>7.2127999999999997</v>
      </c>
      <c r="E18" s="417">
        <v>5</v>
      </c>
      <c r="F18" s="418">
        <f t="shared" si="3"/>
        <v>3.0053333333333336</v>
      </c>
      <c r="G18" s="418">
        <f t="shared" si="4"/>
        <v>70.32480000000001</v>
      </c>
      <c r="H18" s="419">
        <v>16</v>
      </c>
      <c r="I18" s="419">
        <v>31</v>
      </c>
      <c r="J18" s="419">
        <f t="shared" si="5"/>
        <v>960</v>
      </c>
      <c r="K18" s="420">
        <f t="shared" si="6"/>
        <v>19.82</v>
      </c>
      <c r="L18" s="421">
        <v>16</v>
      </c>
      <c r="M18" s="421">
        <v>31</v>
      </c>
      <c r="N18" s="421">
        <f t="shared" si="7"/>
        <v>960</v>
      </c>
      <c r="O18" s="422">
        <f t="shared" si="8"/>
        <v>19.82</v>
      </c>
      <c r="P18" s="423">
        <v>20</v>
      </c>
      <c r="Q18" s="423">
        <v>11</v>
      </c>
      <c r="R18" s="423">
        <f t="shared" si="9"/>
        <v>1200</v>
      </c>
      <c r="S18" s="424">
        <f t="shared" si="10"/>
        <v>24.22</v>
      </c>
      <c r="T18" s="425">
        <v>20</v>
      </c>
      <c r="U18" s="425">
        <v>25</v>
      </c>
      <c r="V18" s="425">
        <f t="shared" si="11"/>
        <v>1200</v>
      </c>
      <c r="W18" s="426">
        <f t="shared" si="12"/>
        <v>24.5</v>
      </c>
      <c r="X18" s="419">
        <f t="shared" si="13"/>
        <v>4.68</v>
      </c>
      <c r="Y18" s="427">
        <f t="shared" si="14"/>
        <v>329.12006400000001</v>
      </c>
      <c r="Z18" s="421">
        <f t="shared" si="15"/>
        <v>4.68</v>
      </c>
      <c r="AA18" s="428">
        <f t="shared" si="16"/>
        <v>329.12006400000001</v>
      </c>
      <c r="AB18" s="423">
        <f t="shared" si="17"/>
        <v>0.28000000000000114</v>
      </c>
      <c r="AC18" s="429">
        <f t="shared" si="18"/>
        <v>19.690944000000083</v>
      </c>
      <c r="AD18" s="426">
        <f t="shared" si="19"/>
        <v>9.64</v>
      </c>
      <c r="AE18" s="430">
        <f t="shared" si="0"/>
        <v>677.93107200000009</v>
      </c>
      <c r="AF18" s="430">
        <f t="shared" si="20"/>
        <v>54.234485760000005</v>
      </c>
    </row>
    <row r="19" spans="1:32" x14ac:dyDescent="0.25">
      <c r="A19" s="455" t="s">
        <v>94</v>
      </c>
      <c r="B19" s="416">
        <v>43.87</v>
      </c>
      <c r="C19" s="416">
        <f t="shared" si="1"/>
        <v>7.3116666666666665</v>
      </c>
      <c r="D19" s="416">
        <f t="shared" si="2"/>
        <v>6.1417999999999999</v>
      </c>
      <c r="E19" s="417">
        <v>0</v>
      </c>
      <c r="F19" s="418">
        <f t="shared" si="3"/>
        <v>0</v>
      </c>
      <c r="G19" s="418">
        <f t="shared" si="4"/>
        <v>57.323466666666661</v>
      </c>
      <c r="H19" s="419">
        <v>27</v>
      </c>
      <c r="I19" s="419">
        <v>0</v>
      </c>
      <c r="J19" s="419">
        <f t="shared" si="5"/>
        <v>1620</v>
      </c>
      <c r="K19" s="420">
        <f t="shared" si="6"/>
        <v>32.4</v>
      </c>
      <c r="L19" s="421">
        <v>27</v>
      </c>
      <c r="M19" s="421">
        <v>0</v>
      </c>
      <c r="N19" s="421">
        <f t="shared" si="7"/>
        <v>1620</v>
      </c>
      <c r="O19" s="422">
        <f t="shared" si="8"/>
        <v>32.4</v>
      </c>
      <c r="P19" s="423">
        <v>27</v>
      </c>
      <c r="Q19" s="423">
        <v>0</v>
      </c>
      <c r="R19" s="423">
        <f t="shared" si="9"/>
        <v>1620</v>
      </c>
      <c r="S19" s="424">
        <f t="shared" si="10"/>
        <v>32.4</v>
      </c>
      <c r="T19" s="425">
        <v>36</v>
      </c>
      <c r="U19" s="425">
        <v>0</v>
      </c>
      <c r="V19" s="425">
        <f t="shared" si="11"/>
        <v>2160</v>
      </c>
      <c r="W19" s="426">
        <f t="shared" si="12"/>
        <v>43.2</v>
      </c>
      <c r="X19" s="419">
        <f t="shared" si="13"/>
        <v>10.800000000000004</v>
      </c>
      <c r="Y19" s="427">
        <f t="shared" si="14"/>
        <v>619.09344000000021</v>
      </c>
      <c r="Z19" s="421">
        <f t="shared" si="15"/>
        <v>10.800000000000004</v>
      </c>
      <c r="AA19" s="428">
        <f t="shared" si="16"/>
        <v>619.09344000000021</v>
      </c>
      <c r="AB19" s="423">
        <f t="shared" si="17"/>
        <v>10.800000000000004</v>
      </c>
      <c r="AC19" s="429">
        <f t="shared" si="18"/>
        <v>619.09344000000021</v>
      </c>
      <c r="AD19" s="426">
        <f t="shared" si="19"/>
        <v>32.400000000000013</v>
      </c>
      <c r="AE19" s="430">
        <f t="shared" si="0"/>
        <v>1857.2803200000005</v>
      </c>
      <c r="AF19" s="430">
        <f t="shared" si="20"/>
        <v>148.58242560000005</v>
      </c>
    </row>
    <row r="20" spans="1:32" x14ac:dyDescent="0.25">
      <c r="A20" s="455" t="s">
        <v>95</v>
      </c>
      <c r="B20" s="416">
        <v>35.43</v>
      </c>
      <c r="C20" s="416">
        <f t="shared" si="1"/>
        <v>5.9050000000000002</v>
      </c>
      <c r="D20" s="416">
        <f t="shared" si="2"/>
        <v>4.9601999999999995</v>
      </c>
      <c r="E20" s="417">
        <v>0</v>
      </c>
      <c r="F20" s="418">
        <f t="shared" si="3"/>
        <v>0</v>
      </c>
      <c r="G20" s="418">
        <f t="shared" si="4"/>
        <v>46.295200000000001</v>
      </c>
      <c r="H20" s="419">
        <v>13</v>
      </c>
      <c r="I20" s="419">
        <v>18</v>
      </c>
      <c r="J20" s="419">
        <f t="shared" si="5"/>
        <v>780</v>
      </c>
      <c r="K20" s="420">
        <f t="shared" si="6"/>
        <v>15.96</v>
      </c>
      <c r="L20" s="421">
        <v>13</v>
      </c>
      <c r="M20" s="421">
        <v>18</v>
      </c>
      <c r="N20" s="421">
        <f t="shared" si="7"/>
        <v>780</v>
      </c>
      <c r="O20" s="422">
        <f t="shared" si="8"/>
        <v>15.96</v>
      </c>
      <c r="P20" s="423">
        <v>13</v>
      </c>
      <c r="Q20" s="423">
        <v>18</v>
      </c>
      <c r="R20" s="423">
        <f t="shared" si="9"/>
        <v>780</v>
      </c>
      <c r="S20" s="424">
        <f t="shared" si="10"/>
        <v>15.96</v>
      </c>
      <c r="T20" s="425">
        <v>18</v>
      </c>
      <c r="U20" s="425">
        <v>0</v>
      </c>
      <c r="V20" s="425">
        <f t="shared" si="11"/>
        <v>1080</v>
      </c>
      <c r="W20" s="426">
        <f t="shared" si="12"/>
        <v>21.6</v>
      </c>
      <c r="X20" s="419">
        <f t="shared" si="13"/>
        <v>5.6400000000000006</v>
      </c>
      <c r="Y20" s="427">
        <f t="shared" si="14"/>
        <v>261.10492800000003</v>
      </c>
      <c r="Z20" s="421">
        <f t="shared" si="15"/>
        <v>5.6400000000000006</v>
      </c>
      <c r="AA20" s="428">
        <f t="shared" si="16"/>
        <v>261.10492800000003</v>
      </c>
      <c r="AB20" s="423">
        <f t="shared" si="17"/>
        <v>5.6400000000000006</v>
      </c>
      <c r="AC20" s="429">
        <f t="shared" si="18"/>
        <v>261.10492800000003</v>
      </c>
      <c r="AD20" s="426">
        <f t="shared" si="19"/>
        <v>16.920000000000002</v>
      </c>
      <c r="AE20" s="430">
        <f t="shared" si="0"/>
        <v>783.31478400000015</v>
      </c>
      <c r="AF20" s="430">
        <f t="shared" si="20"/>
        <v>62.665182720000011</v>
      </c>
    </row>
    <row r="21" spans="1:32" x14ac:dyDescent="0.25">
      <c r="A21" s="252"/>
      <c r="B21" s="252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R21" s="252"/>
      <c r="S21" s="252"/>
      <c r="T21" s="252"/>
      <c r="U21" s="252"/>
      <c r="V21" s="252"/>
      <c r="W21" s="252"/>
      <c r="X21" s="252"/>
      <c r="Y21" s="430">
        <f>SUM(Y3:Y20)</f>
        <v>9844.1100380000025</v>
      </c>
      <c r="Z21" s="252"/>
      <c r="AA21" s="430">
        <f>SUM(AA3:AA20)</f>
        <v>9844.1100380000025</v>
      </c>
      <c r="AB21" s="252"/>
      <c r="AC21" s="430">
        <f>SUM(AC3:AC20)</f>
        <v>11601.72875866667</v>
      </c>
      <c r="AD21" s="252"/>
      <c r="AE21" s="430">
        <f>SUM(AE3:AE20)</f>
        <v>31289.948834666662</v>
      </c>
      <c r="AF21" s="430">
        <f t="shared" si="20"/>
        <v>2503.1959067733328</v>
      </c>
    </row>
    <row r="22" spans="1:32" x14ac:dyDescent="0.25">
      <c r="A22" s="252"/>
      <c r="B22" s="252"/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2"/>
      <c r="T22" s="252"/>
      <c r="U22" s="252"/>
      <c r="V22" s="252"/>
      <c r="W22" s="252"/>
      <c r="X22" s="252"/>
      <c r="Y22" s="252"/>
      <c r="Z22" s="252"/>
      <c r="AA22" s="252"/>
      <c r="AB22" s="252"/>
      <c r="AC22" s="252"/>
      <c r="AD22" s="252"/>
      <c r="AE22" s="252"/>
      <c r="AF22" s="252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8D11C-6200-43F1-968E-F98C98FA1A6A}">
  <dimension ref="A1:L82"/>
  <sheetViews>
    <sheetView workbookViewId="0">
      <selection activeCell="Q38" sqref="Q38"/>
    </sheetView>
  </sheetViews>
  <sheetFormatPr defaultRowHeight="15" x14ac:dyDescent="0.25"/>
  <cols>
    <col min="1" max="1" width="37.85546875" customWidth="1"/>
    <col min="4" max="6" width="0" hidden="1" customWidth="1"/>
    <col min="7" max="7" width="14.140625" customWidth="1"/>
    <col min="8" max="8" width="0" hidden="1" customWidth="1"/>
    <col min="11" max="12" width="13.28515625" bestFit="1" customWidth="1"/>
    <col min="14" max="14" width="11.5703125" bestFit="1" customWidth="1"/>
  </cols>
  <sheetData>
    <row r="1" spans="1:8" ht="15.75" thickBot="1" x14ac:dyDescent="0.3"/>
    <row r="2" spans="1:8" x14ac:dyDescent="0.25">
      <c r="A2" s="2" t="s">
        <v>137</v>
      </c>
      <c r="B2" s="3"/>
      <c r="C2" s="3"/>
      <c r="D2" s="3"/>
      <c r="E2" s="3"/>
      <c r="F2" s="3"/>
      <c r="G2" s="4"/>
      <c r="H2" s="4"/>
    </row>
    <row r="3" spans="1:8" ht="15.75" thickBot="1" x14ac:dyDescent="0.3">
      <c r="A3" s="1" t="s">
        <v>138</v>
      </c>
      <c r="B3" s="5"/>
      <c r="C3" s="5"/>
      <c r="D3" s="5"/>
      <c r="E3" s="5"/>
      <c r="F3" s="5"/>
      <c r="G3" s="6"/>
      <c r="H3" s="6"/>
    </row>
    <row r="4" spans="1:8" ht="15.75" thickBot="1" x14ac:dyDescent="0.3">
      <c r="A4" s="2"/>
      <c r="B4" s="3"/>
      <c r="C4" s="3"/>
      <c r="D4" s="3"/>
      <c r="E4" s="3"/>
      <c r="F4" s="3"/>
      <c r="G4" s="4"/>
      <c r="H4" s="4"/>
    </row>
    <row r="5" spans="1:8" ht="15.75" thickTop="1" x14ac:dyDescent="0.25">
      <c r="A5" s="372"/>
      <c r="B5" s="350"/>
      <c r="C5" s="350"/>
      <c r="D5" s="350"/>
      <c r="E5" s="350"/>
      <c r="F5" s="350"/>
      <c r="G5" s="373"/>
      <c r="H5" s="351"/>
    </row>
    <row r="6" spans="1:8" x14ac:dyDescent="0.25">
      <c r="A6" s="374"/>
      <c r="B6" t="s">
        <v>139</v>
      </c>
      <c r="G6" s="375"/>
      <c r="H6" s="352"/>
    </row>
    <row r="7" spans="1:8" x14ac:dyDescent="0.25">
      <c r="A7" s="374"/>
      <c r="G7" s="375"/>
      <c r="H7" s="352"/>
    </row>
    <row r="8" spans="1:8" x14ac:dyDescent="0.25">
      <c r="A8" s="376" t="str">
        <f>'13º SALÁRIO 2020'!B3</f>
        <v>01 -Diferença salaria 13ª SALÁRIO 2020</v>
      </c>
      <c r="B8" s="7"/>
      <c r="C8" s="7"/>
      <c r="D8" s="7"/>
      <c r="E8" s="7"/>
      <c r="F8" s="7"/>
      <c r="G8" s="377">
        <f>'13º SALÁRIO 2020'!F114</f>
        <v>141703.60999999996</v>
      </c>
      <c r="H8" s="353"/>
    </row>
    <row r="9" spans="1:8" x14ac:dyDescent="0.25">
      <c r="A9" s="376" t="s">
        <v>254</v>
      </c>
      <c r="B9" s="371"/>
      <c r="C9" s="7"/>
      <c r="D9" s="7"/>
      <c r="E9" s="7"/>
      <c r="F9" s="7"/>
      <c r="G9" s="377">
        <v>0</v>
      </c>
      <c r="H9" s="352"/>
    </row>
    <row r="10" spans="1:8" x14ac:dyDescent="0.25">
      <c r="A10" s="374"/>
      <c r="G10" s="378">
        <v>0</v>
      </c>
      <c r="H10" s="352"/>
    </row>
    <row r="11" spans="1:8" x14ac:dyDescent="0.25">
      <c r="A11" s="376" t="str">
        <f>'Salário 12-2020'!C3</f>
        <v>02- Diferença salarial dezembro 2020</v>
      </c>
      <c r="B11" s="7"/>
      <c r="C11" s="7"/>
      <c r="D11" s="7"/>
      <c r="E11" s="7"/>
      <c r="F11" s="7"/>
      <c r="G11" s="377">
        <f>'Salário 12-2020'!F101</f>
        <v>26048.379999999997</v>
      </c>
      <c r="H11" s="353"/>
    </row>
    <row r="12" spans="1:8" x14ac:dyDescent="0.25">
      <c r="A12" s="376" t="s">
        <v>256</v>
      </c>
      <c r="B12" s="371"/>
      <c r="C12" s="7"/>
      <c r="D12" s="7"/>
      <c r="E12" s="7"/>
      <c r="F12" s="7"/>
      <c r="G12" s="377">
        <v>0</v>
      </c>
      <c r="H12" s="352"/>
    </row>
    <row r="13" spans="1:8" x14ac:dyDescent="0.25">
      <c r="A13" s="374"/>
      <c r="G13" s="378">
        <v>0</v>
      </c>
      <c r="H13" s="352"/>
    </row>
    <row r="14" spans="1:8" x14ac:dyDescent="0.25">
      <c r="A14" s="376" t="str">
        <f>'salário 01-2021  terço férias'!B3</f>
        <v xml:space="preserve">03- Diferença salarial  janeiro + TERÇO DE FÉRIAS . </v>
      </c>
      <c r="B14" s="7"/>
      <c r="C14" s="7"/>
      <c r="D14" s="7"/>
      <c r="E14" s="7"/>
      <c r="F14" s="7"/>
      <c r="G14" s="377">
        <f>'salário 01-2021  terço férias'!E97</f>
        <v>28363.239999999998</v>
      </c>
      <c r="H14" s="353"/>
    </row>
    <row r="15" spans="1:8" x14ac:dyDescent="0.25">
      <c r="A15" s="376" t="s">
        <v>239</v>
      </c>
      <c r="B15" s="7"/>
      <c r="C15" s="7"/>
      <c r="D15" s="7"/>
      <c r="E15" s="7"/>
      <c r="F15" s="7"/>
      <c r="G15" s="377">
        <f>'salário 01-2021  terço férias'!F97</f>
        <v>46866.943333333329</v>
      </c>
      <c r="H15" s="353"/>
    </row>
    <row r="16" spans="1:8" x14ac:dyDescent="0.25">
      <c r="A16" s="376" t="s">
        <v>256</v>
      </c>
      <c r="B16" s="371"/>
      <c r="C16" s="7"/>
      <c r="D16" s="7"/>
      <c r="E16" s="7"/>
      <c r="F16" s="7"/>
      <c r="G16" s="377">
        <v>0</v>
      </c>
      <c r="H16" s="352"/>
    </row>
    <row r="17" spans="1:8" x14ac:dyDescent="0.25">
      <c r="A17" s="374"/>
      <c r="G17" s="378">
        <v>0</v>
      </c>
      <c r="H17" s="352"/>
    </row>
    <row r="18" spans="1:8" x14ac:dyDescent="0.25">
      <c r="A18" s="376" t="str">
        <f>'salário 02-2021'!C3</f>
        <v>04- Diferença salarial fevereirto 2021</v>
      </c>
      <c r="B18" s="7"/>
      <c r="C18" s="7"/>
      <c r="D18" s="7"/>
      <c r="E18" s="7"/>
      <c r="F18" s="7"/>
      <c r="G18" s="377">
        <f>'salário 02-2021'!F99</f>
        <v>22344.11</v>
      </c>
      <c r="H18" s="353"/>
    </row>
    <row r="19" spans="1:8" x14ac:dyDescent="0.25">
      <c r="A19" s="376" t="s">
        <v>256</v>
      </c>
      <c r="B19" s="371"/>
      <c r="C19" s="7"/>
      <c r="D19" s="7"/>
      <c r="E19" s="7"/>
      <c r="F19" s="7"/>
      <c r="G19" s="377">
        <v>0</v>
      </c>
      <c r="H19" s="352"/>
    </row>
    <row r="20" spans="1:8" x14ac:dyDescent="0.25">
      <c r="A20" s="374"/>
      <c r="G20" s="378">
        <v>0</v>
      </c>
      <c r="H20" s="352"/>
    </row>
    <row r="21" spans="1:8" x14ac:dyDescent="0.25">
      <c r="A21" s="376" t="str">
        <f>'salário 03-2021'!B3</f>
        <v>05- Diferença salarial março de 2021</v>
      </c>
      <c r="B21" s="7"/>
      <c r="C21" s="7"/>
      <c r="D21" s="7"/>
      <c r="E21" s="7"/>
      <c r="F21" s="7"/>
      <c r="G21" s="377">
        <f>'salário 03-2021'!H145</f>
        <v>22816.550000000003</v>
      </c>
      <c r="H21" s="353"/>
    </row>
    <row r="22" spans="1:8" ht="14.25" customHeight="1" x14ac:dyDescent="0.25">
      <c r="A22" s="376" t="s">
        <v>256</v>
      </c>
      <c r="B22" s="371"/>
      <c r="C22" s="7"/>
      <c r="D22" s="7"/>
      <c r="E22" s="7"/>
      <c r="F22" s="7"/>
      <c r="G22" s="377">
        <v>0</v>
      </c>
      <c r="H22" s="352"/>
    </row>
    <row r="23" spans="1:8" x14ac:dyDescent="0.25">
      <c r="A23" s="374"/>
      <c r="G23" s="378">
        <v>0</v>
      </c>
      <c r="H23" s="352"/>
    </row>
    <row r="24" spans="1:8" x14ac:dyDescent="0.25">
      <c r="A24" s="376" t="str">
        <f>'salário 04-2021'!B3</f>
        <v>06-  Diferença salarial abril 2021</v>
      </c>
      <c r="B24" s="7"/>
      <c r="C24" s="7"/>
      <c r="D24" s="7"/>
      <c r="E24" s="7"/>
      <c r="F24" s="7"/>
      <c r="G24" s="377">
        <f>'salário 04-2021'!E110</f>
        <v>27241.360000000001</v>
      </c>
      <c r="H24" s="353"/>
    </row>
    <row r="25" spans="1:8" x14ac:dyDescent="0.25">
      <c r="A25" s="376" t="s">
        <v>256</v>
      </c>
      <c r="B25" s="371">
        <v>8.9399999999999993E-2</v>
      </c>
      <c r="C25" s="7"/>
      <c r="D25" s="7"/>
      <c r="E25" s="7"/>
      <c r="F25" s="7"/>
      <c r="G25" s="377">
        <v>0</v>
      </c>
      <c r="H25" s="352"/>
    </row>
    <row r="26" spans="1:8" x14ac:dyDescent="0.25">
      <c r="A26" s="374"/>
      <c r="G26" s="378">
        <v>0</v>
      </c>
      <c r="H26" s="352"/>
    </row>
    <row r="27" spans="1:8" x14ac:dyDescent="0.25">
      <c r="A27" s="376" t="str">
        <f>'salário 05-2021'!C3</f>
        <v>07- Diferença salarial maio 2021</v>
      </c>
      <c r="B27" s="7"/>
      <c r="C27" s="7"/>
      <c r="D27" s="7"/>
      <c r="E27" s="7"/>
      <c r="F27" s="7"/>
      <c r="G27" s="377">
        <f>'salário 05-2021'!F107</f>
        <v>25328.480000000003</v>
      </c>
      <c r="H27" s="353"/>
    </row>
    <row r="28" spans="1:8" x14ac:dyDescent="0.25">
      <c r="A28" s="376" t="s">
        <v>256</v>
      </c>
      <c r="B28" s="371">
        <v>8.6699999999999999E-2</v>
      </c>
      <c r="C28" s="7"/>
      <c r="D28" s="7"/>
      <c r="E28" s="7"/>
      <c r="F28" s="7"/>
      <c r="G28" s="377">
        <v>0</v>
      </c>
      <c r="H28" s="352"/>
    </row>
    <row r="29" spans="1:8" x14ac:dyDescent="0.25">
      <c r="A29" s="374"/>
      <c r="G29" s="378">
        <v>0</v>
      </c>
      <c r="H29" s="352"/>
    </row>
    <row r="30" spans="1:8" x14ac:dyDescent="0.25">
      <c r="A30" s="376" t="str">
        <f>'salário 06-2021'!C3</f>
        <v xml:space="preserve">08- Diferença salarial junho de 2021 </v>
      </c>
      <c r="B30" s="7"/>
      <c r="C30" s="7"/>
      <c r="D30" s="7"/>
      <c r="E30" s="7"/>
      <c r="F30" s="7"/>
      <c r="G30" s="377">
        <f>'salário 06-2021'!F106</f>
        <v>43118.99</v>
      </c>
      <c r="H30" s="353"/>
    </row>
    <row r="31" spans="1:8" x14ac:dyDescent="0.25">
      <c r="A31" s="253" t="s">
        <v>257</v>
      </c>
      <c r="B31" s="371"/>
      <c r="C31" s="7"/>
      <c r="D31" s="7"/>
      <c r="E31" s="7"/>
      <c r="F31" s="7"/>
      <c r="G31" s="8">
        <v>0</v>
      </c>
      <c r="H31" s="352"/>
    </row>
    <row r="32" spans="1:8" x14ac:dyDescent="0.25">
      <c r="A32" s="374"/>
      <c r="G32" s="378">
        <v>0</v>
      </c>
      <c r="H32" s="352"/>
    </row>
    <row r="33" spans="1:8" x14ac:dyDescent="0.25">
      <c r="A33" s="376" t="str">
        <f>'salário 07-2021'!B3</f>
        <v>09- Diferença salarial julho de 2021</v>
      </c>
      <c r="B33" s="7"/>
      <c r="C33" s="7"/>
      <c r="D33" s="7"/>
      <c r="E33" s="7"/>
      <c r="F33" s="7"/>
      <c r="G33" s="377">
        <f>'salário 07-2021'!E113</f>
        <v>38673.03</v>
      </c>
      <c r="H33" s="353"/>
    </row>
    <row r="34" spans="1:8" x14ac:dyDescent="0.25">
      <c r="A34" s="376" t="s">
        <v>256</v>
      </c>
      <c r="B34" s="384"/>
      <c r="C34" s="7"/>
      <c r="D34" s="7"/>
      <c r="E34" s="7"/>
      <c r="F34" s="7"/>
      <c r="G34" s="377">
        <v>0</v>
      </c>
      <c r="H34" s="352"/>
    </row>
    <row r="35" spans="1:8" x14ac:dyDescent="0.25">
      <c r="A35" s="374"/>
      <c r="G35" s="378">
        <v>0</v>
      </c>
      <c r="H35" s="352"/>
    </row>
    <row r="36" spans="1:8" x14ac:dyDescent="0.25">
      <c r="A36" s="376" t="str">
        <f>'salário 08-2021'!B3</f>
        <v>10- Diferença salarial agosto de 2021</v>
      </c>
      <c r="B36" s="7"/>
      <c r="C36" s="7"/>
      <c r="D36" s="7"/>
      <c r="E36" s="7"/>
      <c r="F36" s="7"/>
      <c r="G36" s="377">
        <f>'salário 08-2021'!E137</f>
        <v>39185.61</v>
      </c>
      <c r="H36" s="353"/>
    </row>
    <row r="37" spans="1:8" x14ac:dyDescent="0.25">
      <c r="A37" s="376" t="s">
        <v>256</v>
      </c>
      <c r="B37" s="371"/>
      <c r="C37" s="7"/>
      <c r="D37" s="7"/>
      <c r="E37" s="7"/>
      <c r="F37" s="7"/>
      <c r="G37" s="377">
        <v>0</v>
      </c>
      <c r="H37" s="352"/>
    </row>
    <row r="38" spans="1:8" x14ac:dyDescent="0.25">
      <c r="A38" s="374"/>
      <c r="G38" s="378">
        <v>0</v>
      </c>
      <c r="H38" s="352"/>
    </row>
    <row r="39" spans="1:8" x14ac:dyDescent="0.25">
      <c r="A39" s="379" t="str">
        <f>'salário 09-2021'!B3</f>
        <v>11- Diferença salarial setembro de 2021</v>
      </c>
      <c r="B39" s="348"/>
      <c r="C39" s="348"/>
      <c r="D39" s="348"/>
      <c r="E39" s="348"/>
      <c r="F39" s="348"/>
      <c r="G39" s="380">
        <f>'salário 09-2021'!E104</f>
        <v>118039.82999999999</v>
      </c>
      <c r="H39" s="354"/>
    </row>
    <row r="40" spans="1:8" x14ac:dyDescent="0.25">
      <c r="A40" s="376" t="s">
        <v>256</v>
      </c>
      <c r="B40" s="371"/>
      <c r="C40" s="7"/>
      <c r="D40" s="7"/>
      <c r="E40" s="7"/>
      <c r="F40" s="7"/>
      <c r="G40" s="377">
        <v>0</v>
      </c>
      <c r="H40" s="352"/>
    </row>
    <row r="41" spans="1:8" x14ac:dyDescent="0.25">
      <c r="A41" s="374"/>
      <c r="G41" s="378">
        <v>0</v>
      </c>
      <c r="H41" s="352"/>
    </row>
    <row r="42" spans="1:8" x14ac:dyDescent="0.25">
      <c r="A42" s="376" t="str">
        <f>'salário 10-2021'!B3</f>
        <v>12- Diferença salarial outubro de 2021</v>
      </c>
      <c r="B42" s="7"/>
      <c r="C42" s="7"/>
      <c r="D42" s="7"/>
      <c r="E42" s="7"/>
      <c r="F42" s="7"/>
      <c r="G42" s="377">
        <f>'salário 10-2021'!E102</f>
        <v>124906.51000000001</v>
      </c>
      <c r="H42" s="353"/>
    </row>
    <row r="43" spans="1:8" x14ac:dyDescent="0.25">
      <c r="A43" s="376" t="s">
        <v>256</v>
      </c>
      <c r="B43" s="371"/>
      <c r="C43" s="7"/>
      <c r="D43" s="7"/>
      <c r="E43" s="7"/>
      <c r="F43" s="7"/>
      <c r="G43" s="377">
        <v>0</v>
      </c>
      <c r="H43" s="352"/>
    </row>
    <row r="44" spans="1:8" x14ac:dyDescent="0.25">
      <c r="A44" s="374"/>
      <c r="G44" s="378">
        <v>0</v>
      </c>
      <c r="H44" s="352"/>
    </row>
    <row r="45" spans="1:8" x14ac:dyDescent="0.25">
      <c r="A45" s="376" t="str">
        <f>'salário 11-2021'!B3</f>
        <v>13- Diferença salarial novembro de 2021</v>
      </c>
      <c r="B45" s="7"/>
      <c r="C45" s="7"/>
      <c r="D45" s="7"/>
      <c r="E45" s="7"/>
      <c r="F45" s="7"/>
      <c r="G45" s="377">
        <f>'salário 11-2021'!E103</f>
        <v>32860.310000000005</v>
      </c>
      <c r="H45" s="353"/>
    </row>
    <row r="46" spans="1:8" x14ac:dyDescent="0.25">
      <c r="A46" s="376" t="s">
        <v>256</v>
      </c>
      <c r="B46" s="371"/>
      <c r="C46" s="7"/>
      <c r="D46" s="7"/>
      <c r="E46" s="7"/>
      <c r="F46" s="7"/>
      <c r="G46" s="377">
        <v>0</v>
      </c>
      <c r="H46" s="352"/>
    </row>
    <row r="47" spans="1:8" x14ac:dyDescent="0.25">
      <c r="A47" s="374"/>
      <c r="G47" s="378">
        <v>0</v>
      </c>
      <c r="H47" s="352"/>
    </row>
    <row r="48" spans="1:8" x14ac:dyDescent="0.25">
      <c r="A48" s="376" t="str">
        <f>'salário 12-2021'!B3</f>
        <v>14- Diferença salarial dezembro de 2021</v>
      </c>
      <c r="B48" s="7"/>
      <c r="C48" s="7"/>
      <c r="D48" s="7"/>
      <c r="E48" s="7"/>
      <c r="F48" s="7"/>
      <c r="G48" s="377">
        <f>'salário 12-2021'!E100</f>
        <v>124287.55999999998</v>
      </c>
      <c r="H48" s="353"/>
    </row>
    <row r="49" spans="1:8" x14ac:dyDescent="0.25">
      <c r="A49" s="376" t="s">
        <v>256</v>
      </c>
      <c r="B49" s="371"/>
      <c r="C49" s="7"/>
      <c r="D49" s="7"/>
      <c r="E49" s="7"/>
      <c r="F49" s="7"/>
      <c r="G49" s="377">
        <v>0</v>
      </c>
      <c r="H49" s="352"/>
    </row>
    <row r="50" spans="1:8" x14ac:dyDescent="0.25">
      <c r="A50" s="374"/>
      <c r="G50" s="378">
        <v>0</v>
      </c>
      <c r="H50" s="352"/>
    </row>
    <row r="51" spans="1:8" x14ac:dyDescent="0.25">
      <c r="A51" s="376" t="str">
        <f>'Salário 13ª primeira parcela'!B3</f>
        <v>15- Diferença salarial 01ª parcela 13º salário</v>
      </c>
      <c r="B51" s="7"/>
      <c r="C51" s="7"/>
      <c r="D51" s="7"/>
      <c r="E51" s="7"/>
      <c r="F51" s="7"/>
      <c r="G51" s="377">
        <f>'Salário 13ª primeira parcela'!E107</f>
        <v>76476.979999999967</v>
      </c>
      <c r="H51" s="353"/>
    </row>
    <row r="52" spans="1:8" x14ac:dyDescent="0.25">
      <c r="A52" s="376" t="s">
        <v>256</v>
      </c>
      <c r="B52" s="371"/>
      <c r="C52" s="7"/>
      <c r="D52" s="7"/>
      <c r="E52" s="7"/>
      <c r="F52" s="7"/>
      <c r="G52" s="377">
        <v>0</v>
      </c>
      <c r="H52" s="352"/>
    </row>
    <row r="53" spans="1:8" x14ac:dyDescent="0.25">
      <c r="A53" s="374"/>
      <c r="G53" s="378">
        <v>0</v>
      </c>
      <c r="H53" s="352"/>
    </row>
    <row r="54" spans="1:8" x14ac:dyDescent="0.25">
      <c r="A54" s="376" t="str">
        <f>'Salário 13º segunda parcela'!B3</f>
        <v>16- Diferença salarial 02ª parcela 13º salário</v>
      </c>
      <c r="B54" s="7"/>
      <c r="C54" s="7"/>
      <c r="D54" s="7"/>
      <c r="E54" s="7"/>
      <c r="F54" s="7"/>
      <c r="G54" s="377">
        <f>'Salário 13º segunda parcela'!E100</f>
        <v>53430.249999999971</v>
      </c>
      <c r="H54" s="353"/>
    </row>
    <row r="55" spans="1:8" x14ac:dyDescent="0.25">
      <c r="A55" s="376" t="s">
        <v>256</v>
      </c>
      <c r="B55" s="371"/>
      <c r="C55" s="7"/>
      <c r="D55" s="7"/>
      <c r="E55" s="7"/>
      <c r="F55" s="7"/>
      <c r="G55" s="377">
        <v>0</v>
      </c>
      <c r="H55" s="352"/>
    </row>
    <row r="56" spans="1:8" x14ac:dyDescent="0.25">
      <c r="A56" s="374"/>
      <c r="G56" s="378">
        <v>0</v>
      </c>
      <c r="H56" s="352"/>
    </row>
    <row r="57" spans="1:8" x14ac:dyDescent="0.25">
      <c r="A57" s="376" t="str">
        <f>'Salário 01-2022  terço férias'!B3</f>
        <v xml:space="preserve">17- Diferença salarial  janeiro </v>
      </c>
      <c r="B57" s="7"/>
      <c r="C57" s="7"/>
      <c r="D57" s="7"/>
      <c r="E57" s="7"/>
      <c r="F57" s="7"/>
      <c r="G57" s="377">
        <f>'Salário 01-2022  terço férias'!E105</f>
        <v>86543.01999999999</v>
      </c>
      <c r="H57" s="353"/>
    </row>
    <row r="58" spans="1:8" x14ac:dyDescent="0.25">
      <c r="A58" s="376" t="s">
        <v>237</v>
      </c>
      <c r="B58" s="7"/>
      <c r="C58" s="7"/>
      <c r="D58" s="7"/>
      <c r="E58" s="7"/>
      <c r="F58" s="7"/>
      <c r="G58" s="377">
        <f>'Salário 01-2022  terço férias'!F105</f>
        <v>45386.023333333324</v>
      </c>
      <c r="H58" s="353"/>
    </row>
    <row r="59" spans="1:8" x14ac:dyDescent="0.25">
      <c r="A59" s="376" t="s">
        <v>256</v>
      </c>
      <c r="B59" s="371"/>
      <c r="C59" s="7"/>
      <c r="D59" s="7"/>
      <c r="E59" s="7"/>
      <c r="F59" s="7"/>
      <c r="G59" s="377">
        <v>0</v>
      </c>
      <c r="H59" s="352"/>
    </row>
    <row r="60" spans="1:8" x14ac:dyDescent="0.25">
      <c r="A60" s="374"/>
      <c r="G60" s="378">
        <v>0</v>
      </c>
      <c r="H60" s="352"/>
    </row>
    <row r="61" spans="1:8" x14ac:dyDescent="0.25">
      <c r="A61" s="376" t="str">
        <f>'Salário de 02-2022'!B3</f>
        <v>18-Diferença salarial fevereiro 2022</v>
      </c>
      <c r="B61" s="7"/>
      <c r="C61" s="7"/>
      <c r="D61" s="7"/>
      <c r="E61" s="7"/>
      <c r="F61" s="7"/>
      <c r="G61" s="377">
        <f>'Salário de 02-2022'!E102+'Salário de 02-2022'!F102</f>
        <v>38335.420037999997</v>
      </c>
      <c r="H61" s="353"/>
    </row>
    <row r="62" spans="1:8" x14ac:dyDescent="0.25">
      <c r="A62" s="376" t="s">
        <v>256</v>
      </c>
      <c r="B62" s="371"/>
      <c r="C62" s="7"/>
      <c r="D62" s="7"/>
      <c r="E62" s="7"/>
      <c r="F62" s="7"/>
      <c r="G62" s="377">
        <v>0</v>
      </c>
      <c r="H62" s="352"/>
    </row>
    <row r="63" spans="1:8" x14ac:dyDescent="0.25">
      <c r="A63" s="374"/>
      <c r="G63" s="378">
        <v>0</v>
      </c>
      <c r="H63" s="352"/>
    </row>
    <row r="64" spans="1:8" x14ac:dyDescent="0.25">
      <c r="A64" s="376" t="str">
        <f>'Salário de 03-2022 '!B3</f>
        <v>19-Diferença salarial março 2022</v>
      </c>
      <c r="B64" s="7"/>
      <c r="C64" s="7"/>
      <c r="D64" s="7"/>
      <c r="E64" s="7"/>
      <c r="F64" s="7"/>
      <c r="G64" s="377">
        <f>'Salário de 03-2022 '!E95+'Salário de 03-2022 '!F95</f>
        <v>31323.890038000001</v>
      </c>
      <c r="H64" s="353"/>
    </row>
    <row r="65" spans="1:12" x14ac:dyDescent="0.25">
      <c r="A65" s="376" t="s">
        <v>256</v>
      </c>
      <c r="B65" s="371"/>
      <c r="C65" s="7"/>
      <c r="D65" s="7"/>
      <c r="E65" s="7"/>
      <c r="F65" s="7"/>
      <c r="G65" s="377">
        <v>0</v>
      </c>
      <c r="H65" s="352"/>
    </row>
    <row r="66" spans="1:12" x14ac:dyDescent="0.25">
      <c r="A66" s="374"/>
      <c r="G66" s="378">
        <v>0</v>
      </c>
      <c r="H66" s="352"/>
      <c r="K66" s="231"/>
      <c r="L66" s="231"/>
    </row>
    <row r="67" spans="1:12" x14ac:dyDescent="0.25">
      <c r="A67" s="376" t="str">
        <f>'salário de 04-2022  '!B3</f>
        <v>20-Diferença salarial abril 2022</v>
      </c>
      <c r="B67" s="7"/>
      <c r="C67" s="7"/>
      <c r="D67" s="7"/>
      <c r="E67" s="7"/>
      <c r="F67" s="7"/>
      <c r="G67" s="377">
        <f>'salário de 04-2022  '!E95+'salário de 04-2022  '!F95</f>
        <v>77737.618758666664</v>
      </c>
      <c r="H67" s="353"/>
      <c r="K67" s="231"/>
      <c r="L67" s="231"/>
    </row>
    <row r="68" spans="1:12" x14ac:dyDescent="0.25">
      <c r="A68" s="376" t="s">
        <v>256</v>
      </c>
      <c r="B68" s="371"/>
      <c r="C68" s="7"/>
      <c r="D68" s="7"/>
      <c r="E68" s="7"/>
      <c r="F68" s="7"/>
      <c r="G68" s="377">
        <v>0</v>
      </c>
      <c r="H68" s="352"/>
      <c r="K68" s="231"/>
      <c r="L68" s="231"/>
    </row>
    <row r="69" spans="1:12" x14ac:dyDescent="0.25">
      <c r="A69" s="374"/>
      <c r="G69" s="378">
        <v>0</v>
      </c>
      <c r="H69" s="352"/>
      <c r="K69" s="231"/>
      <c r="L69" s="231"/>
    </row>
    <row r="70" spans="1:12" x14ac:dyDescent="0.25">
      <c r="A70" s="376" t="s">
        <v>249</v>
      </c>
      <c r="B70" s="7"/>
      <c r="C70" s="7"/>
      <c r="D70" s="7"/>
      <c r="E70" s="7"/>
      <c r="F70" s="7"/>
      <c r="G70" s="377">
        <f>SUM('13º SALÁRIO 2020'!G114+'Salário 12-2020'!G101+'salário 01-2021  terço férias'!H97+'salário 02-2021'!G99+'salário 03-2021'!I145+'salário 04-2021'!F110+'salário 05-2021'!G107+'salário 06-2021'!G106+'salário 07-2021'!F113+'salário 08-2021'!F137+'salário 09-2021'!F104+'salário 10-2021'!F102+'salário 11-2021'!F103+'salário 12-2021'!F100+'Salário 13ª primeira parcela'!F107+'Salário 13º segunda parcela'!F100+'Salário 01-2022  terço férias'!H105+'Salário de 02-2022'!G102+'Salário de 03-2022 '!G95+'salário de 04-2022  '!G95)</f>
        <v>201187.99617343998</v>
      </c>
      <c r="H70" s="353"/>
      <c r="K70" s="231"/>
      <c r="L70" s="231"/>
    </row>
    <row r="71" spans="1:12" x14ac:dyDescent="0.25">
      <c r="A71" s="374"/>
      <c r="G71" s="378">
        <v>0</v>
      </c>
      <c r="H71" s="352"/>
    </row>
    <row r="72" spans="1:12" x14ac:dyDescent="0.25">
      <c r="A72" s="376" t="s">
        <v>250</v>
      </c>
      <c r="B72" s="7"/>
      <c r="C72" s="7"/>
      <c r="D72" s="7"/>
      <c r="E72" s="7"/>
      <c r="F72" s="7"/>
      <c r="G72" s="377">
        <f>'salário 02-2021'!K99</f>
        <v>95068.015717999995</v>
      </c>
      <c r="H72" s="353"/>
    </row>
    <row r="73" spans="1:12" x14ac:dyDescent="0.25">
      <c r="A73" s="374"/>
      <c r="G73" s="378">
        <v>0</v>
      </c>
      <c r="H73" s="352"/>
    </row>
    <row r="74" spans="1:12" x14ac:dyDescent="0.25">
      <c r="A74" s="376"/>
      <c r="B74" s="7"/>
      <c r="C74" s="7"/>
      <c r="D74" s="7"/>
      <c r="E74" s="7"/>
      <c r="F74" s="7"/>
      <c r="G74" s="377">
        <v>0</v>
      </c>
      <c r="H74" s="353"/>
    </row>
    <row r="75" spans="1:12" ht="15.75" thickBot="1" x14ac:dyDescent="0.3">
      <c r="A75" s="381"/>
      <c r="B75" s="355"/>
      <c r="C75" s="355"/>
      <c r="D75" s="355"/>
      <c r="E75" s="355"/>
      <c r="F75" s="355"/>
      <c r="G75" s="382">
        <v>0</v>
      </c>
      <c r="H75" s="356"/>
    </row>
    <row r="76" spans="1:12" ht="16.5" thickTop="1" thickBot="1" x14ac:dyDescent="0.3">
      <c r="A76" s="1"/>
      <c r="B76" s="5"/>
      <c r="C76" s="5"/>
      <c r="D76" s="5"/>
      <c r="E76" s="349" t="s">
        <v>140</v>
      </c>
      <c r="F76" s="349"/>
      <c r="G76" s="383">
        <f>SUM(G8:G75)</f>
        <v>1567273.7273927731</v>
      </c>
      <c r="H76" s="6"/>
    </row>
    <row r="78" spans="1:12" x14ac:dyDescent="0.25">
      <c r="C78" t="s">
        <v>258</v>
      </c>
      <c r="G78" s="231">
        <f>SUM(G8+G11+G14+G15+G18+G21+G24+G27+G30+G33+G36+G39+G42+G45+G48+G51+G54+G57+G58+G61+G64+G67)</f>
        <v>1271017.7155013331</v>
      </c>
    </row>
    <row r="79" spans="1:12" x14ac:dyDescent="0.25">
      <c r="C79" t="s">
        <v>259</v>
      </c>
      <c r="G79" s="231">
        <f>G72</f>
        <v>95068.015717999995</v>
      </c>
    </row>
    <row r="80" spans="1:12" x14ac:dyDescent="0.25">
      <c r="C80" t="s">
        <v>260</v>
      </c>
      <c r="G80" s="231">
        <f>G70</f>
        <v>201187.99617343998</v>
      </c>
    </row>
    <row r="81" spans="3:7" x14ac:dyDescent="0.25">
      <c r="C81" t="s">
        <v>261</v>
      </c>
      <c r="G81" s="231">
        <f>SUM(G9+G12+G16+G19+G22+G25+G28+G31+G34+G37+G40+G43+G46+G49+G52+G55+G59+G62+G65+G68)</f>
        <v>0</v>
      </c>
    </row>
    <row r="82" spans="3:7" x14ac:dyDescent="0.25">
      <c r="G82" s="231">
        <f>SUM(G78:G81)</f>
        <v>1567273.7273927731</v>
      </c>
    </row>
  </sheetData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77618-5BB9-4656-93D5-163F234FDAC2}">
  <sheetPr>
    <tabColor rgb="FF00B050"/>
    <pageSetUpPr fitToPage="1"/>
  </sheetPr>
  <dimension ref="A1:L119"/>
  <sheetViews>
    <sheetView showGridLines="0" zoomScale="98" zoomScaleNormal="98" workbookViewId="0">
      <selection activeCell="K1" sqref="K1:L1048576"/>
    </sheetView>
  </sheetViews>
  <sheetFormatPr defaultRowHeight="15" x14ac:dyDescent="0.25"/>
  <cols>
    <col min="1" max="1" width="10.42578125" style="59" customWidth="1"/>
    <col min="2" max="2" width="36.85546875" style="60" customWidth="1"/>
    <col min="3" max="3" width="15.42578125" style="59" customWidth="1"/>
    <col min="4" max="4" width="15.140625" style="59" hidden="1" customWidth="1"/>
    <col min="5" max="5" width="11.7109375" style="69" customWidth="1"/>
    <col min="6" max="6" width="16" style="69" customWidth="1"/>
    <col min="7" max="7" width="13.85546875" style="69" customWidth="1"/>
    <col min="8" max="8" width="12" style="60" hidden="1" customWidth="1"/>
    <col min="9" max="9" width="13" style="60" hidden="1" customWidth="1"/>
    <col min="10" max="10" width="16" style="60" hidden="1" customWidth="1"/>
    <col min="11" max="12" width="19.140625" style="60" hidden="1" customWidth="1"/>
    <col min="13" max="16384" width="9.140625" style="60"/>
  </cols>
  <sheetData>
    <row r="1" spans="1:12" ht="15.75" x14ac:dyDescent="0.25">
      <c r="A1" s="256"/>
      <c r="B1" s="490" t="s">
        <v>141</v>
      </c>
      <c r="C1" s="491"/>
      <c r="D1" s="83"/>
      <c r="E1" s="83"/>
      <c r="F1" s="83"/>
      <c r="G1" s="83"/>
      <c r="H1" s="84"/>
      <c r="I1" s="84"/>
      <c r="J1" s="84"/>
      <c r="K1" s="84"/>
      <c r="L1" s="84"/>
    </row>
    <row r="2" spans="1:12" ht="15.75" x14ac:dyDescent="0.25">
      <c r="B2" s="492" t="s">
        <v>197</v>
      </c>
      <c r="C2" s="493"/>
      <c r="D2" s="61"/>
      <c r="E2" s="58"/>
      <c r="F2" s="58"/>
      <c r="G2" s="58"/>
      <c r="H2" s="85"/>
      <c r="I2" s="85"/>
      <c r="J2" s="85"/>
      <c r="K2" s="85"/>
      <c r="L2" s="85"/>
    </row>
    <row r="3" spans="1:12" x14ac:dyDescent="0.25">
      <c r="B3" s="86" t="s">
        <v>199</v>
      </c>
      <c r="C3" s="255"/>
      <c r="D3" s="87"/>
      <c r="E3" s="88"/>
      <c r="F3" s="88"/>
      <c r="G3" s="88"/>
      <c r="H3" s="89"/>
      <c r="I3" s="89"/>
      <c r="J3" s="89"/>
      <c r="K3" s="89"/>
      <c r="L3" s="89"/>
    </row>
    <row r="4" spans="1:12" ht="51.75" customHeight="1" x14ac:dyDescent="0.25">
      <c r="A4" s="62"/>
      <c r="B4" s="260" t="s">
        <v>144</v>
      </c>
      <c r="C4" s="70" t="s">
        <v>140</v>
      </c>
      <c r="D4" s="70" t="s">
        <v>164</v>
      </c>
      <c r="E4" s="70" t="s">
        <v>163</v>
      </c>
      <c r="F4" s="70" t="s">
        <v>165</v>
      </c>
      <c r="G4" s="70" t="s">
        <v>212</v>
      </c>
      <c r="H4" s="70" t="s">
        <v>147</v>
      </c>
      <c r="I4" s="70" t="s">
        <v>213</v>
      </c>
      <c r="J4" s="70" t="s">
        <v>214</v>
      </c>
      <c r="K4" s="82" t="s">
        <v>252</v>
      </c>
      <c r="L4" s="82" t="s">
        <v>253</v>
      </c>
    </row>
    <row r="5" spans="1:12" ht="18" customHeight="1" x14ac:dyDescent="0.25">
      <c r="A5" s="257"/>
      <c r="B5" s="73" t="s">
        <v>33</v>
      </c>
      <c r="C5" s="72">
        <v>2030.76</v>
      </c>
      <c r="D5" s="72"/>
      <c r="E5" s="70"/>
      <c r="F5" s="70">
        <f>SUM(C5+D5)-E5</f>
        <v>2030.76</v>
      </c>
      <c r="G5" s="70">
        <f>C5*8%</f>
        <v>162.46080000000001</v>
      </c>
      <c r="H5" s="74">
        <v>44520</v>
      </c>
      <c r="I5" s="74">
        <v>44185</v>
      </c>
      <c r="J5" s="232">
        <f>H5-I5</f>
        <v>335</v>
      </c>
      <c r="K5" s="357">
        <v>9.6299999999999997E-2</v>
      </c>
      <c r="L5" s="358">
        <f t="shared" ref="L5:L32" si="0">F5*K5</f>
        <v>195.56218799999999</v>
      </c>
    </row>
    <row r="6" spans="1:12" ht="18" customHeight="1" x14ac:dyDescent="0.25">
      <c r="A6" s="257"/>
      <c r="B6" s="73" t="s">
        <v>34</v>
      </c>
      <c r="C6" s="75">
        <v>1528.71</v>
      </c>
      <c r="D6" s="75"/>
      <c r="E6" s="70"/>
      <c r="F6" s="70">
        <f t="shared" ref="F6:F65" si="1">SUM(C6+D6)-E6</f>
        <v>1528.71</v>
      </c>
      <c r="G6" s="70">
        <f t="shared" ref="G6:G65" si="2">C6*8%</f>
        <v>122.2968</v>
      </c>
      <c r="H6" s="74">
        <f>H5</f>
        <v>44520</v>
      </c>
      <c r="I6" s="74">
        <v>44185</v>
      </c>
      <c r="J6" s="232">
        <f t="shared" ref="J6:J65" si="3">H6-I6</f>
        <v>335</v>
      </c>
      <c r="K6" s="357">
        <v>9.6299999999999997E-2</v>
      </c>
      <c r="L6" s="358">
        <f t="shared" si="0"/>
        <v>147.21477300000001</v>
      </c>
    </row>
    <row r="7" spans="1:12" ht="18" customHeight="1" x14ac:dyDescent="0.25">
      <c r="A7" s="257"/>
      <c r="B7" s="73" t="s">
        <v>35</v>
      </c>
      <c r="C7" s="75">
        <v>2.97</v>
      </c>
      <c r="D7" s="75"/>
      <c r="E7" s="70"/>
      <c r="F7" s="70">
        <f t="shared" si="1"/>
        <v>2.97</v>
      </c>
      <c r="G7" s="70">
        <f t="shared" si="2"/>
        <v>0.23760000000000003</v>
      </c>
      <c r="H7" s="74">
        <f>H6</f>
        <v>44520</v>
      </c>
      <c r="I7" s="74">
        <v>44185</v>
      </c>
      <c r="J7" s="232">
        <f t="shared" si="3"/>
        <v>335</v>
      </c>
      <c r="K7" s="357">
        <v>9.6299999999999997E-2</v>
      </c>
      <c r="L7" s="358">
        <f t="shared" si="0"/>
        <v>0.28601100000000002</v>
      </c>
    </row>
    <row r="8" spans="1:12" ht="18" customHeight="1" x14ac:dyDescent="0.25">
      <c r="A8" s="257"/>
      <c r="B8" s="73" t="s">
        <v>36</v>
      </c>
      <c r="C8" s="75">
        <v>3787.87</v>
      </c>
      <c r="D8" s="75">
        <v>0</v>
      </c>
      <c r="E8" s="70">
        <v>2000</v>
      </c>
      <c r="F8" s="70">
        <f t="shared" si="1"/>
        <v>1787.87</v>
      </c>
      <c r="G8" s="70">
        <f t="shared" si="2"/>
        <v>303.02960000000002</v>
      </c>
      <c r="H8" s="74">
        <v>44204</v>
      </c>
      <c r="I8" s="74">
        <v>44185</v>
      </c>
      <c r="J8" s="232">
        <f t="shared" si="3"/>
        <v>19</v>
      </c>
      <c r="K8" s="357">
        <v>9.6299999999999997E-2</v>
      </c>
      <c r="L8" s="358">
        <f t="shared" si="0"/>
        <v>172.17188099999998</v>
      </c>
    </row>
    <row r="9" spans="1:12" ht="18" customHeight="1" x14ac:dyDescent="0.25">
      <c r="A9" s="257"/>
      <c r="B9" s="73" t="s">
        <v>36</v>
      </c>
      <c r="C9" s="75">
        <f>C8-E8</f>
        <v>1787.87</v>
      </c>
      <c r="D9" s="75"/>
      <c r="E9" s="70"/>
      <c r="F9" s="70">
        <f t="shared" si="1"/>
        <v>1787.87</v>
      </c>
      <c r="G9" s="70">
        <f t="shared" si="2"/>
        <v>143.02959999999999</v>
      </c>
      <c r="H9" s="74">
        <f>H7</f>
        <v>44520</v>
      </c>
      <c r="I9" s="74">
        <v>44185</v>
      </c>
      <c r="J9" s="232">
        <f t="shared" si="3"/>
        <v>335</v>
      </c>
      <c r="K9" s="357">
        <v>9.6299999999999997E-2</v>
      </c>
      <c r="L9" s="358">
        <f t="shared" si="0"/>
        <v>172.17188099999998</v>
      </c>
    </row>
    <row r="10" spans="1:12" ht="18" customHeight="1" x14ac:dyDescent="0.25">
      <c r="A10" s="257"/>
      <c r="B10" s="73" t="s">
        <v>37</v>
      </c>
      <c r="C10" s="75">
        <v>1532.19</v>
      </c>
      <c r="D10" s="75"/>
      <c r="E10" s="70"/>
      <c r="F10" s="70">
        <f t="shared" si="1"/>
        <v>1532.19</v>
      </c>
      <c r="G10" s="70">
        <f t="shared" si="2"/>
        <v>122.57520000000001</v>
      </c>
      <c r="H10" s="74">
        <f>H9</f>
        <v>44520</v>
      </c>
      <c r="I10" s="74">
        <v>44185</v>
      </c>
      <c r="J10" s="232">
        <f t="shared" si="3"/>
        <v>335</v>
      </c>
      <c r="K10" s="357">
        <v>9.6299999999999997E-2</v>
      </c>
      <c r="L10" s="358">
        <f t="shared" si="0"/>
        <v>147.54989699999999</v>
      </c>
    </row>
    <row r="11" spans="1:12" ht="18" customHeight="1" x14ac:dyDescent="0.25">
      <c r="A11" s="257"/>
      <c r="B11" s="73" t="s">
        <v>19</v>
      </c>
      <c r="C11" s="72">
        <v>4474.3100000000004</v>
      </c>
      <c r="D11" s="72"/>
      <c r="E11" s="70"/>
      <c r="F11" s="70">
        <f t="shared" si="1"/>
        <v>4474.3100000000004</v>
      </c>
      <c r="G11" s="70">
        <f t="shared" si="2"/>
        <v>357.94480000000004</v>
      </c>
      <c r="H11" s="74">
        <f>H10</f>
        <v>44520</v>
      </c>
      <c r="I11" s="74">
        <v>44185</v>
      </c>
      <c r="J11" s="232">
        <f t="shared" si="3"/>
        <v>335</v>
      </c>
      <c r="K11" s="357">
        <v>9.6299999999999997E-2</v>
      </c>
      <c r="L11" s="358">
        <f t="shared" si="0"/>
        <v>430.87605300000001</v>
      </c>
    </row>
    <row r="12" spans="1:12" ht="18" customHeight="1" x14ac:dyDescent="0.25">
      <c r="A12" s="257"/>
      <c r="B12" s="73" t="s">
        <v>117</v>
      </c>
      <c r="C12" s="75">
        <v>114.09</v>
      </c>
      <c r="D12" s="75"/>
      <c r="E12" s="70"/>
      <c r="F12" s="70">
        <f t="shared" si="1"/>
        <v>114.09</v>
      </c>
      <c r="G12" s="70">
        <f t="shared" si="2"/>
        <v>9.1272000000000002</v>
      </c>
      <c r="H12" s="74" t="e">
        <f>#REF!</f>
        <v>#REF!</v>
      </c>
      <c r="I12" s="74">
        <v>44185</v>
      </c>
      <c r="J12" s="232" t="e">
        <f t="shared" si="3"/>
        <v>#REF!</v>
      </c>
      <c r="K12" s="357">
        <v>9.6299999999999997E-2</v>
      </c>
      <c r="L12" s="358">
        <f t="shared" si="0"/>
        <v>10.986867</v>
      </c>
    </row>
    <row r="13" spans="1:12" ht="18" customHeight="1" x14ac:dyDescent="0.25">
      <c r="A13" s="257"/>
      <c r="B13" s="73" t="s">
        <v>38</v>
      </c>
      <c r="C13" s="75">
        <v>2756.46</v>
      </c>
      <c r="D13" s="75"/>
      <c r="E13" s="70"/>
      <c r="F13" s="70">
        <f t="shared" si="1"/>
        <v>2756.46</v>
      </c>
      <c r="G13" s="70">
        <f t="shared" si="2"/>
        <v>220.51680000000002</v>
      </c>
      <c r="H13" s="74">
        <f t="shared" ref="H13:H25" si="4">H11</f>
        <v>44520</v>
      </c>
      <c r="I13" s="74">
        <v>44185</v>
      </c>
      <c r="J13" s="232">
        <f t="shared" si="3"/>
        <v>335</v>
      </c>
      <c r="K13" s="357">
        <v>9.6299999999999997E-2</v>
      </c>
      <c r="L13" s="358">
        <f t="shared" si="0"/>
        <v>265.44709799999998</v>
      </c>
    </row>
    <row r="14" spans="1:12" ht="18" customHeight="1" x14ac:dyDescent="0.25">
      <c r="A14" s="257"/>
      <c r="B14" s="73" t="s">
        <v>20</v>
      </c>
      <c r="C14" s="72">
        <v>720.43</v>
      </c>
      <c r="D14" s="72"/>
      <c r="E14" s="70"/>
      <c r="F14" s="70">
        <f t="shared" si="1"/>
        <v>720.43</v>
      </c>
      <c r="G14" s="70">
        <f t="shared" si="2"/>
        <v>57.634399999999999</v>
      </c>
      <c r="H14" s="74" t="e">
        <f t="shared" si="4"/>
        <v>#REF!</v>
      </c>
      <c r="I14" s="74">
        <v>44185</v>
      </c>
      <c r="J14" s="232" t="e">
        <f t="shared" si="3"/>
        <v>#REF!</v>
      </c>
      <c r="K14" s="357">
        <v>9.6299999999999997E-2</v>
      </c>
      <c r="L14" s="358">
        <f t="shared" si="0"/>
        <v>69.377408999999986</v>
      </c>
    </row>
    <row r="15" spans="1:12" ht="18" customHeight="1" x14ac:dyDescent="0.25">
      <c r="A15" s="257"/>
      <c r="B15" s="73" t="s">
        <v>39</v>
      </c>
      <c r="C15" s="72">
        <v>9.81</v>
      </c>
      <c r="D15" s="72"/>
      <c r="E15" s="70"/>
      <c r="F15" s="70">
        <f t="shared" si="1"/>
        <v>9.81</v>
      </c>
      <c r="G15" s="70">
        <f t="shared" si="2"/>
        <v>0.78480000000000005</v>
      </c>
      <c r="H15" s="74">
        <f t="shared" si="4"/>
        <v>44520</v>
      </c>
      <c r="I15" s="74">
        <v>44185</v>
      </c>
      <c r="J15" s="232">
        <f t="shared" si="3"/>
        <v>335</v>
      </c>
      <c r="K15" s="357">
        <v>9.6299999999999997E-2</v>
      </c>
      <c r="L15" s="358">
        <f t="shared" si="0"/>
        <v>0.94470300000000007</v>
      </c>
    </row>
    <row r="16" spans="1:12" ht="18" customHeight="1" x14ac:dyDescent="0.25">
      <c r="A16" s="257"/>
      <c r="B16" s="73" t="s">
        <v>40</v>
      </c>
      <c r="C16" s="75">
        <v>9.76</v>
      </c>
      <c r="D16" s="75"/>
      <c r="E16" s="70"/>
      <c r="F16" s="70">
        <f t="shared" si="1"/>
        <v>9.76</v>
      </c>
      <c r="G16" s="70">
        <f t="shared" si="2"/>
        <v>0.78080000000000005</v>
      </c>
      <c r="H16" s="74" t="e">
        <f t="shared" si="4"/>
        <v>#REF!</v>
      </c>
      <c r="I16" s="74">
        <v>44185</v>
      </c>
      <c r="J16" s="232" t="e">
        <f t="shared" si="3"/>
        <v>#REF!</v>
      </c>
      <c r="K16" s="357">
        <v>9.6299999999999997E-2</v>
      </c>
      <c r="L16" s="358">
        <f t="shared" si="0"/>
        <v>0.93988799999999995</v>
      </c>
    </row>
    <row r="17" spans="1:12" ht="18" customHeight="1" x14ac:dyDescent="0.25">
      <c r="A17" s="257"/>
      <c r="B17" s="73" t="s">
        <v>41</v>
      </c>
      <c r="C17" s="75">
        <v>471.08</v>
      </c>
      <c r="D17" s="75"/>
      <c r="E17" s="70"/>
      <c r="F17" s="70">
        <f t="shared" si="1"/>
        <v>471.08</v>
      </c>
      <c r="G17" s="70">
        <f t="shared" si="2"/>
        <v>37.686399999999999</v>
      </c>
      <c r="H17" s="74">
        <f t="shared" si="4"/>
        <v>44520</v>
      </c>
      <c r="I17" s="74">
        <v>44185</v>
      </c>
      <c r="J17" s="232">
        <f t="shared" si="3"/>
        <v>335</v>
      </c>
      <c r="K17" s="357">
        <v>9.6299999999999997E-2</v>
      </c>
      <c r="L17" s="358">
        <f t="shared" si="0"/>
        <v>45.365003999999999</v>
      </c>
    </row>
    <row r="18" spans="1:12" ht="18" customHeight="1" x14ac:dyDescent="0.25">
      <c r="A18" s="257"/>
      <c r="B18" s="73" t="s">
        <v>42</v>
      </c>
      <c r="C18" s="75">
        <v>1532.15</v>
      </c>
      <c r="D18" s="75"/>
      <c r="E18" s="70"/>
      <c r="F18" s="70">
        <f t="shared" si="1"/>
        <v>1532.15</v>
      </c>
      <c r="G18" s="70">
        <f t="shared" si="2"/>
        <v>122.572</v>
      </c>
      <c r="H18" s="74" t="e">
        <f t="shared" si="4"/>
        <v>#REF!</v>
      </c>
      <c r="I18" s="74">
        <v>44185</v>
      </c>
      <c r="J18" s="232" t="e">
        <f t="shared" si="3"/>
        <v>#REF!</v>
      </c>
      <c r="K18" s="357">
        <v>9.6299999999999997E-2</v>
      </c>
      <c r="L18" s="358">
        <f t="shared" si="0"/>
        <v>147.54604499999999</v>
      </c>
    </row>
    <row r="19" spans="1:12" ht="18" customHeight="1" x14ac:dyDescent="0.25">
      <c r="A19" s="257"/>
      <c r="B19" s="73" t="s">
        <v>43</v>
      </c>
      <c r="C19" s="75">
        <v>10.24</v>
      </c>
      <c r="D19" s="75"/>
      <c r="E19" s="70"/>
      <c r="F19" s="70">
        <f t="shared" si="1"/>
        <v>10.24</v>
      </c>
      <c r="G19" s="70">
        <f t="shared" si="2"/>
        <v>0.81920000000000004</v>
      </c>
      <c r="H19" s="74">
        <f t="shared" si="4"/>
        <v>44520</v>
      </c>
      <c r="I19" s="74">
        <v>44185</v>
      </c>
      <c r="J19" s="232">
        <f t="shared" si="3"/>
        <v>335</v>
      </c>
      <c r="K19" s="357">
        <v>9.6299999999999997E-2</v>
      </c>
      <c r="L19" s="358">
        <f t="shared" si="0"/>
        <v>0.98611199999999999</v>
      </c>
    </row>
    <row r="20" spans="1:12" ht="18" customHeight="1" x14ac:dyDescent="0.25">
      <c r="A20" s="257"/>
      <c r="B20" s="73" t="s">
        <v>44</v>
      </c>
      <c r="C20" s="75">
        <v>1238.0999999999999</v>
      </c>
      <c r="D20" s="75"/>
      <c r="E20" s="70"/>
      <c r="F20" s="70">
        <f t="shared" si="1"/>
        <v>1238.0999999999999</v>
      </c>
      <c r="G20" s="70">
        <f t="shared" si="2"/>
        <v>99.048000000000002</v>
      </c>
      <c r="H20" s="74">
        <f>H19</f>
        <v>44520</v>
      </c>
      <c r="I20" s="74">
        <v>44185</v>
      </c>
      <c r="J20" s="232">
        <f t="shared" si="3"/>
        <v>335</v>
      </c>
      <c r="K20" s="357">
        <v>9.6299999999999997E-2</v>
      </c>
      <c r="L20" s="358">
        <f t="shared" si="0"/>
        <v>119.22902999999998</v>
      </c>
    </row>
    <row r="21" spans="1:12" ht="18" customHeight="1" x14ac:dyDescent="0.25">
      <c r="A21" s="257"/>
      <c r="B21" s="77" t="s">
        <v>1</v>
      </c>
      <c r="C21" s="75">
        <v>3302.78</v>
      </c>
      <c r="D21" s="75"/>
      <c r="E21" s="70"/>
      <c r="F21" s="70">
        <f t="shared" si="1"/>
        <v>3302.78</v>
      </c>
      <c r="G21" s="70">
        <f t="shared" si="2"/>
        <v>264.22239999999999</v>
      </c>
      <c r="H21" s="74">
        <f>H20</f>
        <v>44520</v>
      </c>
      <c r="I21" s="74">
        <v>44185</v>
      </c>
      <c r="J21" s="232">
        <f t="shared" si="3"/>
        <v>335</v>
      </c>
      <c r="K21" s="357">
        <v>9.6299999999999997E-2</v>
      </c>
      <c r="L21" s="358">
        <f t="shared" si="0"/>
        <v>318.05771400000003</v>
      </c>
    </row>
    <row r="22" spans="1:12" ht="18" customHeight="1" x14ac:dyDescent="0.25">
      <c r="A22" s="257"/>
      <c r="B22" s="73" t="s">
        <v>118</v>
      </c>
      <c r="C22" s="75">
        <v>4.5199999999999996</v>
      </c>
      <c r="D22" s="75"/>
      <c r="E22" s="70"/>
      <c r="F22" s="70">
        <f t="shared" si="1"/>
        <v>4.5199999999999996</v>
      </c>
      <c r="G22" s="70">
        <f t="shared" si="2"/>
        <v>0.36159999999999998</v>
      </c>
      <c r="H22" s="74" t="e">
        <f>#REF!</f>
        <v>#REF!</v>
      </c>
      <c r="I22" s="74">
        <v>44185</v>
      </c>
      <c r="J22" s="232" t="e">
        <f t="shared" si="3"/>
        <v>#REF!</v>
      </c>
      <c r="K22" s="357">
        <v>9.6299999999999997E-2</v>
      </c>
      <c r="L22" s="358">
        <f t="shared" si="0"/>
        <v>0.43527599999999994</v>
      </c>
    </row>
    <row r="23" spans="1:12" ht="18" customHeight="1" x14ac:dyDescent="0.25">
      <c r="A23" s="257"/>
      <c r="B23" s="73" t="s">
        <v>46</v>
      </c>
      <c r="C23" s="75">
        <v>9.08</v>
      </c>
      <c r="D23" s="75"/>
      <c r="E23" s="70"/>
      <c r="F23" s="70">
        <f t="shared" si="1"/>
        <v>9.08</v>
      </c>
      <c r="G23" s="70">
        <f t="shared" si="2"/>
        <v>0.72640000000000005</v>
      </c>
      <c r="H23" s="74">
        <f t="shared" si="4"/>
        <v>44520</v>
      </c>
      <c r="I23" s="74">
        <v>44185</v>
      </c>
      <c r="J23" s="232">
        <f t="shared" si="3"/>
        <v>335</v>
      </c>
      <c r="K23" s="357">
        <v>9.6299999999999997E-2</v>
      </c>
      <c r="L23" s="358">
        <f t="shared" si="0"/>
        <v>0.87440399999999996</v>
      </c>
    </row>
    <row r="24" spans="1:12" ht="18" customHeight="1" x14ac:dyDescent="0.25">
      <c r="A24" s="257"/>
      <c r="B24" s="73" t="s">
        <v>47</v>
      </c>
      <c r="C24" s="75">
        <v>975.83</v>
      </c>
      <c r="D24" s="75"/>
      <c r="E24" s="70"/>
      <c r="F24" s="70">
        <f t="shared" si="1"/>
        <v>975.83</v>
      </c>
      <c r="G24" s="70">
        <f t="shared" si="2"/>
        <v>78.066400000000002</v>
      </c>
      <c r="H24" s="74" t="e">
        <f t="shared" si="4"/>
        <v>#REF!</v>
      </c>
      <c r="I24" s="74">
        <v>44185</v>
      </c>
      <c r="J24" s="232" t="e">
        <f t="shared" si="3"/>
        <v>#REF!</v>
      </c>
      <c r="K24" s="357">
        <v>9.6299999999999997E-2</v>
      </c>
      <c r="L24" s="358">
        <f t="shared" si="0"/>
        <v>93.972429000000005</v>
      </c>
    </row>
    <row r="25" spans="1:12" ht="18" customHeight="1" x14ac:dyDescent="0.25">
      <c r="A25" s="257"/>
      <c r="B25" s="77" t="s">
        <v>2</v>
      </c>
      <c r="C25" s="75">
        <v>1909.5</v>
      </c>
      <c r="D25" s="75"/>
      <c r="E25" s="70"/>
      <c r="F25" s="70">
        <f t="shared" si="1"/>
        <v>1909.5</v>
      </c>
      <c r="G25" s="70">
        <f t="shared" si="2"/>
        <v>152.76</v>
      </c>
      <c r="H25" s="74">
        <f t="shared" si="4"/>
        <v>44520</v>
      </c>
      <c r="I25" s="74">
        <v>44185</v>
      </c>
      <c r="J25" s="232">
        <f t="shared" si="3"/>
        <v>335</v>
      </c>
      <c r="K25" s="357">
        <v>9.6299999999999997E-2</v>
      </c>
      <c r="L25" s="358">
        <f t="shared" si="0"/>
        <v>183.88485</v>
      </c>
    </row>
    <row r="26" spans="1:12" ht="18" customHeight="1" x14ac:dyDescent="0.25">
      <c r="A26" s="257"/>
      <c r="B26" s="73" t="s">
        <v>48</v>
      </c>
      <c r="C26" s="75">
        <v>9.08</v>
      </c>
      <c r="D26" s="75">
        <v>0.31</v>
      </c>
      <c r="E26" s="70">
        <f>C26+D26</f>
        <v>9.39</v>
      </c>
      <c r="F26" s="70">
        <f t="shared" si="1"/>
        <v>0</v>
      </c>
      <c r="G26" s="70">
        <f t="shared" si="2"/>
        <v>0.72640000000000005</v>
      </c>
      <c r="H26" s="74">
        <v>44295</v>
      </c>
      <c r="I26" s="74">
        <v>44185</v>
      </c>
      <c r="J26" s="232">
        <f t="shared" si="3"/>
        <v>110</v>
      </c>
      <c r="K26" s="357">
        <v>9.6299999999999997E-2</v>
      </c>
      <c r="L26" s="358">
        <f t="shared" si="0"/>
        <v>0</v>
      </c>
    </row>
    <row r="27" spans="1:12" ht="18" customHeight="1" x14ac:dyDescent="0.25">
      <c r="A27" s="257"/>
      <c r="B27" s="73" t="s">
        <v>3</v>
      </c>
      <c r="C27" s="75">
        <v>5118.09</v>
      </c>
      <c r="D27" s="75"/>
      <c r="E27" s="70"/>
      <c r="F27" s="70">
        <f t="shared" si="1"/>
        <v>5118.09</v>
      </c>
      <c r="G27" s="70">
        <f t="shared" si="2"/>
        <v>409.44720000000001</v>
      </c>
      <c r="H27" s="74">
        <f>H25</f>
        <v>44520</v>
      </c>
      <c r="I27" s="74">
        <v>44185</v>
      </c>
      <c r="J27" s="232">
        <f t="shared" si="3"/>
        <v>335</v>
      </c>
      <c r="K27" s="357">
        <v>9.6299999999999997E-2</v>
      </c>
      <c r="L27" s="358">
        <f t="shared" si="0"/>
        <v>492.87206700000002</v>
      </c>
    </row>
    <row r="28" spans="1:12" ht="18" customHeight="1" x14ac:dyDescent="0.25">
      <c r="A28" s="257"/>
      <c r="B28" s="73" t="s">
        <v>119</v>
      </c>
      <c r="C28" s="75">
        <v>4.1500000000000004</v>
      </c>
      <c r="D28" s="75"/>
      <c r="E28" s="70"/>
      <c r="F28" s="70">
        <f t="shared" si="1"/>
        <v>4.1500000000000004</v>
      </c>
      <c r="G28" s="70">
        <f t="shared" si="2"/>
        <v>0.33200000000000002</v>
      </c>
      <c r="H28" s="74">
        <f>H27</f>
        <v>44520</v>
      </c>
      <c r="I28" s="74">
        <v>44185</v>
      </c>
      <c r="J28" s="232">
        <f t="shared" si="3"/>
        <v>335</v>
      </c>
      <c r="K28" s="357">
        <v>9.6299999999999997E-2</v>
      </c>
      <c r="L28" s="358">
        <f t="shared" si="0"/>
        <v>0.39964500000000003</v>
      </c>
    </row>
    <row r="29" spans="1:12" ht="18" customHeight="1" x14ac:dyDescent="0.25">
      <c r="A29" s="257"/>
      <c r="B29" s="73" t="s">
        <v>49</v>
      </c>
      <c r="C29" s="75">
        <v>998.61</v>
      </c>
      <c r="D29" s="75"/>
      <c r="E29" s="70"/>
      <c r="F29" s="70">
        <f t="shared" si="1"/>
        <v>998.61</v>
      </c>
      <c r="G29" s="70">
        <f t="shared" si="2"/>
        <v>79.888800000000003</v>
      </c>
      <c r="H29" s="74">
        <f t="shared" ref="H29:H31" si="5">H28</f>
        <v>44520</v>
      </c>
      <c r="I29" s="74">
        <v>44185</v>
      </c>
      <c r="J29" s="232">
        <f t="shared" si="3"/>
        <v>335</v>
      </c>
      <c r="K29" s="357">
        <v>9.6299999999999997E-2</v>
      </c>
      <c r="L29" s="358">
        <f t="shared" si="0"/>
        <v>96.166142999999991</v>
      </c>
    </row>
    <row r="30" spans="1:12" ht="18" customHeight="1" x14ac:dyDescent="0.25">
      <c r="A30" s="257"/>
      <c r="B30" s="73" t="s">
        <v>120</v>
      </c>
      <c r="C30" s="75">
        <v>7.67</v>
      </c>
      <c r="D30" s="75"/>
      <c r="E30" s="70"/>
      <c r="F30" s="70">
        <f t="shared" si="1"/>
        <v>7.67</v>
      </c>
      <c r="G30" s="70">
        <f t="shared" si="2"/>
        <v>0.61360000000000003</v>
      </c>
      <c r="H30" s="74">
        <f t="shared" si="5"/>
        <v>44520</v>
      </c>
      <c r="I30" s="74">
        <v>44185</v>
      </c>
      <c r="J30" s="232">
        <f t="shared" si="3"/>
        <v>335</v>
      </c>
      <c r="K30" s="357">
        <v>9.6299999999999997E-2</v>
      </c>
      <c r="L30" s="358">
        <f t="shared" si="0"/>
        <v>0.73862099999999997</v>
      </c>
    </row>
    <row r="31" spans="1:12" ht="18" customHeight="1" x14ac:dyDescent="0.25">
      <c r="A31" s="257"/>
      <c r="B31" s="73" t="s">
        <v>50</v>
      </c>
      <c r="C31" s="75">
        <v>927.75</v>
      </c>
      <c r="D31" s="75"/>
      <c r="E31" s="70"/>
      <c r="F31" s="70">
        <f t="shared" si="1"/>
        <v>927.75</v>
      </c>
      <c r="G31" s="70">
        <f t="shared" si="2"/>
        <v>74.22</v>
      </c>
      <c r="H31" s="74">
        <f t="shared" si="5"/>
        <v>44520</v>
      </c>
      <c r="I31" s="74">
        <v>44185</v>
      </c>
      <c r="J31" s="232">
        <f t="shared" si="3"/>
        <v>335</v>
      </c>
      <c r="K31" s="357">
        <v>9.6299999999999997E-2</v>
      </c>
      <c r="L31" s="358">
        <f t="shared" si="0"/>
        <v>89.342325000000002</v>
      </c>
    </row>
    <row r="32" spans="1:12" ht="18" customHeight="1" x14ac:dyDescent="0.25">
      <c r="A32" s="257"/>
      <c r="B32" s="73" t="s">
        <v>121</v>
      </c>
      <c r="C32" s="75">
        <v>2.97</v>
      </c>
      <c r="D32" s="75">
        <v>0.24</v>
      </c>
      <c r="E32" s="70">
        <f>C32+D32</f>
        <v>3.21</v>
      </c>
      <c r="F32" s="70">
        <f t="shared" si="1"/>
        <v>0</v>
      </c>
      <c r="G32" s="70">
        <f t="shared" si="2"/>
        <v>0.23760000000000003</v>
      </c>
      <c r="H32" s="74">
        <v>44441</v>
      </c>
      <c r="I32" s="74">
        <v>44185</v>
      </c>
      <c r="J32" s="232">
        <f t="shared" si="3"/>
        <v>256</v>
      </c>
      <c r="K32" s="357">
        <v>9.6299999999999997E-2</v>
      </c>
      <c r="L32" s="358">
        <f t="shared" si="0"/>
        <v>0</v>
      </c>
    </row>
    <row r="33" spans="1:12" ht="18" customHeight="1" x14ac:dyDescent="0.25">
      <c r="A33" s="257"/>
      <c r="B33" s="73" t="s">
        <v>51</v>
      </c>
      <c r="C33" s="75">
        <v>552.01</v>
      </c>
      <c r="D33" s="75"/>
      <c r="E33" s="70"/>
      <c r="F33" s="70">
        <f t="shared" si="1"/>
        <v>552.01</v>
      </c>
      <c r="G33" s="70">
        <f t="shared" si="2"/>
        <v>44.160800000000002</v>
      </c>
      <c r="H33" s="74">
        <f>H31</f>
        <v>44520</v>
      </c>
      <c r="I33" s="74">
        <v>44185</v>
      </c>
      <c r="J33" s="232">
        <f t="shared" si="3"/>
        <v>335</v>
      </c>
      <c r="K33" s="357">
        <v>9.6299999999999997E-2</v>
      </c>
      <c r="L33" s="358">
        <f t="shared" ref="L33:L64" si="6">F33*K33</f>
        <v>53.158562999999994</v>
      </c>
    </row>
    <row r="34" spans="1:12" ht="18" customHeight="1" x14ac:dyDescent="0.25">
      <c r="A34" s="257"/>
      <c r="B34" s="73" t="s">
        <v>52</v>
      </c>
      <c r="C34" s="75">
        <v>7.16</v>
      </c>
      <c r="D34" s="75"/>
      <c r="E34" s="70"/>
      <c r="F34" s="70">
        <f t="shared" si="1"/>
        <v>7.16</v>
      </c>
      <c r="G34" s="70">
        <f t="shared" si="2"/>
        <v>0.57279999999999998</v>
      </c>
      <c r="H34" s="74">
        <f>H33</f>
        <v>44520</v>
      </c>
      <c r="I34" s="74">
        <v>44185</v>
      </c>
      <c r="J34" s="232">
        <f t="shared" si="3"/>
        <v>335</v>
      </c>
      <c r="K34" s="357">
        <v>9.6299999999999997E-2</v>
      </c>
      <c r="L34" s="358">
        <f t="shared" si="6"/>
        <v>0.68950800000000001</v>
      </c>
    </row>
    <row r="35" spans="1:12" ht="18" customHeight="1" x14ac:dyDescent="0.25">
      <c r="A35" s="257"/>
      <c r="B35" s="73" t="s">
        <v>21</v>
      </c>
      <c r="C35" s="72">
        <v>997.73</v>
      </c>
      <c r="D35" s="72"/>
      <c r="E35" s="70"/>
      <c r="F35" s="70">
        <f t="shared" si="1"/>
        <v>997.73</v>
      </c>
      <c r="G35" s="70">
        <f t="shared" si="2"/>
        <v>79.818399999999997</v>
      </c>
      <c r="H35" s="74">
        <f t="shared" ref="H35:H45" si="7">H34</f>
        <v>44520</v>
      </c>
      <c r="I35" s="74">
        <v>44185</v>
      </c>
      <c r="J35" s="232">
        <f t="shared" si="3"/>
        <v>335</v>
      </c>
      <c r="K35" s="357">
        <v>9.6299999999999997E-2</v>
      </c>
      <c r="L35" s="358">
        <f t="shared" si="6"/>
        <v>96.081399000000005</v>
      </c>
    </row>
    <row r="36" spans="1:12" ht="18" customHeight="1" x14ac:dyDescent="0.25">
      <c r="A36" s="257"/>
      <c r="B36" s="73" t="s">
        <v>53</v>
      </c>
      <c r="C36" s="75">
        <v>2163.37</v>
      </c>
      <c r="D36" s="75"/>
      <c r="E36" s="70"/>
      <c r="F36" s="70">
        <f t="shared" si="1"/>
        <v>2163.37</v>
      </c>
      <c r="G36" s="70">
        <f t="shared" si="2"/>
        <v>173.06960000000001</v>
      </c>
      <c r="H36" s="74">
        <f t="shared" si="7"/>
        <v>44520</v>
      </c>
      <c r="I36" s="74">
        <v>44185</v>
      </c>
      <c r="J36" s="232">
        <f t="shared" si="3"/>
        <v>335</v>
      </c>
      <c r="K36" s="357">
        <v>9.6299999999999997E-2</v>
      </c>
      <c r="L36" s="358">
        <f t="shared" si="6"/>
        <v>208.33253099999999</v>
      </c>
    </row>
    <row r="37" spans="1:12" ht="18" customHeight="1" x14ac:dyDescent="0.25">
      <c r="A37" s="257"/>
      <c r="B37" s="73" t="s">
        <v>54</v>
      </c>
      <c r="C37" s="75">
        <v>8.06</v>
      </c>
      <c r="D37" s="75"/>
      <c r="E37" s="70"/>
      <c r="F37" s="70">
        <f t="shared" si="1"/>
        <v>8.06</v>
      </c>
      <c r="G37" s="70">
        <f t="shared" si="2"/>
        <v>0.64480000000000004</v>
      </c>
      <c r="H37" s="74">
        <f t="shared" si="7"/>
        <v>44520</v>
      </c>
      <c r="I37" s="74">
        <v>44185</v>
      </c>
      <c r="J37" s="232">
        <f t="shared" si="3"/>
        <v>335</v>
      </c>
      <c r="K37" s="357">
        <v>9.6299999999999997E-2</v>
      </c>
      <c r="L37" s="358">
        <f t="shared" si="6"/>
        <v>0.77617800000000003</v>
      </c>
    </row>
    <row r="38" spans="1:12" ht="18" customHeight="1" x14ac:dyDescent="0.25">
      <c r="A38" s="257"/>
      <c r="B38" s="73" t="s">
        <v>55</v>
      </c>
      <c r="C38" s="75">
        <v>4.33</v>
      </c>
      <c r="D38" s="75"/>
      <c r="E38" s="70"/>
      <c r="F38" s="70">
        <f t="shared" si="1"/>
        <v>4.33</v>
      </c>
      <c r="G38" s="70">
        <f t="shared" si="2"/>
        <v>0.34639999999999999</v>
      </c>
      <c r="H38" s="74">
        <f t="shared" si="7"/>
        <v>44520</v>
      </c>
      <c r="I38" s="74">
        <v>44185</v>
      </c>
      <c r="J38" s="232">
        <f t="shared" si="3"/>
        <v>335</v>
      </c>
      <c r="K38" s="357">
        <v>9.6299999999999997E-2</v>
      </c>
      <c r="L38" s="358">
        <f t="shared" si="6"/>
        <v>0.41697899999999999</v>
      </c>
    </row>
    <row r="39" spans="1:12" ht="18" customHeight="1" x14ac:dyDescent="0.25">
      <c r="A39" s="257"/>
      <c r="B39" s="73" t="s">
        <v>56</v>
      </c>
      <c r="C39" s="72">
        <v>574.59</v>
      </c>
      <c r="D39" s="72"/>
      <c r="E39" s="70"/>
      <c r="F39" s="70">
        <f t="shared" si="1"/>
        <v>574.59</v>
      </c>
      <c r="G39" s="70">
        <f t="shared" si="2"/>
        <v>45.967200000000005</v>
      </c>
      <c r="H39" s="74">
        <f t="shared" si="7"/>
        <v>44520</v>
      </c>
      <c r="I39" s="74">
        <v>44185</v>
      </c>
      <c r="J39" s="232">
        <f t="shared" si="3"/>
        <v>335</v>
      </c>
      <c r="K39" s="357">
        <v>9.6299999999999997E-2</v>
      </c>
      <c r="L39" s="358">
        <f t="shared" si="6"/>
        <v>55.333016999999998</v>
      </c>
    </row>
    <row r="40" spans="1:12" ht="18" customHeight="1" x14ac:dyDescent="0.25">
      <c r="A40" s="257"/>
      <c r="B40" s="73" t="s">
        <v>57</v>
      </c>
      <c r="C40" s="75">
        <v>4.1500000000000004</v>
      </c>
      <c r="D40" s="75"/>
      <c r="E40" s="70"/>
      <c r="F40" s="70">
        <f t="shared" si="1"/>
        <v>4.1500000000000004</v>
      </c>
      <c r="G40" s="70">
        <f t="shared" si="2"/>
        <v>0.33200000000000002</v>
      </c>
      <c r="H40" s="74">
        <f t="shared" si="7"/>
        <v>44520</v>
      </c>
      <c r="I40" s="74">
        <v>44185</v>
      </c>
      <c r="J40" s="232">
        <f t="shared" si="3"/>
        <v>335</v>
      </c>
      <c r="K40" s="357">
        <v>9.6299999999999997E-2</v>
      </c>
      <c r="L40" s="358">
        <f t="shared" si="6"/>
        <v>0.39964500000000003</v>
      </c>
    </row>
    <row r="41" spans="1:12" ht="18" customHeight="1" x14ac:dyDescent="0.25">
      <c r="A41" s="257"/>
      <c r="B41" s="73" t="s">
        <v>122</v>
      </c>
      <c r="C41" s="75">
        <v>619.07000000000005</v>
      </c>
      <c r="D41" s="75"/>
      <c r="E41" s="70"/>
      <c r="F41" s="70">
        <f t="shared" si="1"/>
        <v>619.07000000000005</v>
      </c>
      <c r="G41" s="70">
        <f t="shared" si="2"/>
        <v>49.525600000000004</v>
      </c>
      <c r="H41" s="74">
        <f t="shared" si="7"/>
        <v>44520</v>
      </c>
      <c r="I41" s="74">
        <v>44185</v>
      </c>
      <c r="J41" s="232">
        <f t="shared" si="3"/>
        <v>335</v>
      </c>
      <c r="K41" s="357">
        <v>9.6299999999999997E-2</v>
      </c>
      <c r="L41" s="358">
        <f t="shared" si="6"/>
        <v>59.616441000000002</v>
      </c>
    </row>
    <row r="42" spans="1:12" ht="18" customHeight="1" x14ac:dyDescent="0.25">
      <c r="A42" s="257"/>
      <c r="B42" s="77" t="s">
        <v>4</v>
      </c>
      <c r="C42" s="75">
        <v>3719.79</v>
      </c>
      <c r="D42" s="75"/>
      <c r="E42" s="70"/>
      <c r="F42" s="70">
        <f t="shared" si="1"/>
        <v>3719.79</v>
      </c>
      <c r="G42" s="70">
        <f t="shared" si="2"/>
        <v>297.58319999999998</v>
      </c>
      <c r="H42" s="74">
        <f t="shared" si="7"/>
        <v>44520</v>
      </c>
      <c r="I42" s="74">
        <v>44185</v>
      </c>
      <c r="J42" s="232">
        <f t="shared" si="3"/>
        <v>335</v>
      </c>
      <c r="K42" s="357">
        <v>9.6299999999999997E-2</v>
      </c>
      <c r="L42" s="358">
        <f t="shared" si="6"/>
        <v>358.215777</v>
      </c>
    </row>
    <row r="43" spans="1:12" ht="18" customHeight="1" x14ac:dyDescent="0.25">
      <c r="A43" s="257"/>
      <c r="B43" s="73" t="s">
        <v>22</v>
      </c>
      <c r="C43" s="72">
        <v>2295.9899999999998</v>
      </c>
      <c r="D43" s="72"/>
      <c r="E43" s="70"/>
      <c r="F43" s="70">
        <f t="shared" si="1"/>
        <v>2295.9899999999998</v>
      </c>
      <c r="G43" s="70">
        <f t="shared" si="2"/>
        <v>183.67919999999998</v>
      </c>
      <c r="H43" s="74">
        <f t="shared" si="7"/>
        <v>44520</v>
      </c>
      <c r="I43" s="74">
        <v>44185</v>
      </c>
      <c r="J43" s="232">
        <f t="shared" si="3"/>
        <v>335</v>
      </c>
      <c r="K43" s="357">
        <v>9.6299999999999997E-2</v>
      </c>
      <c r="L43" s="358">
        <f t="shared" si="6"/>
        <v>221.10383699999997</v>
      </c>
    </row>
    <row r="44" spans="1:12" ht="18" customHeight="1" x14ac:dyDescent="0.25">
      <c r="A44" s="257"/>
      <c r="B44" s="73" t="s">
        <v>23</v>
      </c>
      <c r="C44" s="75">
        <v>2562.31</v>
      </c>
      <c r="D44" s="75"/>
      <c r="E44" s="70"/>
      <c r="F44" s="70">
        <f t="shared" si="1"/>
        <v>2562.31</v>
      </c>
      <c r="G44" s="70">
        <f t="shared" si="2"/>
        <v>204.98480000000001</v>
      </c>
      <c r="H44" s="74">
        <f t="shared" si="7"/>
        <v>44520</v>
      </c>
      <c r="I44" s="74">
        <v>44185</v>
      </c>
      <c r="J44" s="232">
        <f t="shared" si="3"/>
        <v>335</v>
      </c>
      <c r="K44" s="357">
        <v>9.6299999999999997E-2</v>
      </c>
      <c r="L44" s="358">
        <f t="shared" si="6"/>
        <v>246.75045299999999</v>
      </c>
    </row>
    <row r="45" spans="1:12" ht="18" customHeight="1" x14ac:dyDescent="0.25">
      <c r="A45" s="257"/>
      <c r="B45" s="77" t="s">
        <v>5</v>
      </c>
      <c r="C45" s="75">
        <v>5064.9399999999996</v>
      </c>
      <c r="D45" s="75"/>
      <c r="E45" s="70"/>
      <c r="F45" s="70">
        <f t="shared" si="1"/>
        <v>5064.9399999999996</v>
      </c>
      <c r="G45" s="70">
        <f t="shared" si="2"/>
        <v>405.1952</v>
      </c>
      <c r="H45" s="74">
        <f t="shared" si="7"/>
        <v>44520</v>
      </c>
      <c r="I45" s="74">
        <v>44185</v>
      </c>
      <c r="J45" s="232">
        <f t="shared" si="3"/>
        <v>335</v>
      </c>
      <c r="K45" s="357">
        <v>9.6299999999999997E-2</v>
      </c>
      <c r="L45" s="358">
        <f t="shared" si="6"/>
        <v>487.75372199999993</v>
      </c>
    </row>
    <row r="46" spans="1:12" ht="18" customHeight="1" x14ac:dyDescent="0.25">
      <c r="A46" s="257"/>
      <c r="B46" s="73" t="s">
        <v>123</v>
      </c>
      <c r="C46" s="75">
        <v>631.66999999999996</v>
      </c>
      <c r="D46" s="75">
        <v>0</v>
      </c>
      <c r="E46" s="70">
        <f>C46+D46</f>
        <v>631.66999999999996</v>
      </c>
      <c r="F46" s="70">
        <f t="shared" si="1"/>
        <v>0</v>
      </c>
      <c r="G46" s="70">
        <f t="shared" si="2"/>
        <v>50.5336</v>
      </c>
      <c r="H46" s="76">
        <v>44208</v>
      </c>
      <c r="I46" s="74">
        <v>44185</v>
      </c>
      <c r="J46" s="232">
        <f t="shared" si="3"/>
        <v>23</v>
      </c>
      <c r="K46" s="357">
        <v>9.6299999999999997E-2</v>
      </c>
      <c r="L46" s="358">
        <f t="shared" si="6"/>
        <v>0</v>
      </c>
    </row>
    <row r="47" spans="1:12" ht="18" customHeight="1" x14ac:dyDescent="0.25">
      <c r="A47" s="257"/>
      <c r="B47" s="77" t="s">
        <v>24</v>
      </c>
      <c r="C47" s="75">
        <v>813.14</v>
      </c>
      <c r="D47" s="75"/>
      <c r="E47" s="70"/>
      <c r="F47" s="70">
        <f t="shared" si="1"/>
        <v>813.14</v>
      </c>
      <c r="G47" s="70">
        <f t="shared" si="2"/>
        <v>65.051199999999994</v>
      </c>
      <c r="H47" s="74">
        <f>H45</f>
        <v>44520</v>
      </c>
      <c r="I47" s="74">
        <v>44185</v>
      </c>
      <c r="J47" s="232">
        <f t="shared" si="3"/>
        <v>335</v>
      </c>
      <c r="K47" s="357">
        <v>9.6299999999999997E-2</v>
      </c>
      <c r="L47" s="358">
        <f t="shared" si="6"/>
        <v>78.305381999999994</v>
      </c>
    </row>
    <row r="48" spans="1:12" ht="18" customHeight="1" x14ac:dyDescent="0.25">
      <c r="A48" s="257"/>
      <c r="B48" s="77" t="s">
        <v>6</v>
      </c>
      <c r="C48" s="75">
        <v>2847.35</v>
      </c>
      <c r="D48" s="75"/>
      <c r="E48" s="70"/>
      <c r="F48" s="70">
        <f t="shared" si="1"/>
        <v>2847.35</v>
      </c>
      <c r="G48" s="70">
        <f t="shared" si="2"/>
        <v>227.78800000000001</v>
      </c>
      <c r="H48" s="76">
        <f>H47</f>
        <v>44520</v>
      </c>
      <c r="I48" s="74">
        <v>44185</v>
      </c>
      <c r="J48" s="232">
        <f t="shared" si="3"/>
        <v>335</v>
      </c>
      <c r="K48" s="357">
        <v>9.6299999999999997E-2</v>
      </c>
      <c r="L48" s="358">
        <f t="shared" si="6"/>
        <v>274.19980499999997</v>
      </c>
    </row>
    <row r="49" spans="1:12" ht="18" customHeight="1" x14ac:dyDescent="0.25">
      <c r="A49" s="257"/>
      <c r="B49" s="77" t="s">
        <v>7</v>
      </c>
      <c r="C49" s="75">
        <v>771.21</v>
      </c>
      <c r="D49" s="75"/>
      <c r="E49" s="70"/>
      <c r="F49" s="70">
        <f t="shared" si="1"/>
        <v>771.21</v>
      </c>
      <c r="G49" s="70">
        <f t="shared" si="2"/>
        <v>61.696800000000003</v>
      </c>
      <c r="H49" s="76">
        <f t="shared" ref="H49:H54" si="8">H48</f>
        <v>44520</v>
      </c>
      <c r="I49" s="74">
        <v>44185</v>
      </c>
      <c r="J49" s="232">
        <f t="shared" si="3"/>
        <v>335</v>
      </c>
      <c r="K49" s="357">
        <v>9.6299999999999997E-2</v>
      </c>
      <c r="L49" s="358">
        <f t="shared" si="6"/>
        <v>74.267522999999997</v>
      </c>
    </row>
    <row r="50" spans="1:12" ht="18" customHeight="1" x14ac:dyDescent="0.25">
      <c r="A50" s="257"/>
      <c r="B50" s="73" t="s">
        <v>58</v>
      </c>
      <c r="C50" s="75">
        <v>7.67</v>
      </c>
      <c r="D50" s="75"/>
      <c r="E50" s="70"/>
      <c r="F50" s="70">
        <f t="shared" si="1"/>
        <v>7.67</v>
      </c>
      <c r="G50" s="70">
        <f t="shared" si="2"/>
        <v>0.61360000000000003</v>
      </c>
      <c r="H50" s="76">
        <f t="shared" si="8"/>
        <v>44520</v>
      </c>
      <c r="I50" s="74">
        <v>44185</v>
      </c>
      <c r="J50" s="232">
        <f t="shared" si="3"/>
        <v>335</v>
      </c>
      <c r="K50" s="357">
        <v>9.6299999999999997E-2</v>
      </c>
      <c r="L50" s="358">
        <f t="shared" si="6"/>
        <v>0.73862099999999997</v>
      </c>
    </row>
    <row r="51" spans="1:12" s="64" customFormat="1" ht="18" customHeight="1" x14ac:dyDescent="0.25">
      <c r="A51" s="257"/>
      <c r="B51" s="73" t="s">
        <v>59</v>
      </c>
      <c r="C51" s="75">
        <v>296.52</v>
      </c>
      <c r="D51" s="75"/>
      <c r="E51" s="70"/>
      <c r="F51" s="70">
        <f t="shared" si="1"/>
        <v>296.52</v>
      </c>
      <c r="G51" s="70">
        <f t="shared" si="2"/>
        <v>23.721599999999999</v>
      </c>
      <c r="H51" s="76">
        <f t="shared" si="8"/>
        <v>44520</v>
      </c>
      <c r="I51" s="74">
        <v>44185</v>
      </c>
      <c r="J51" s="232">
        <f t="shared" si="3"/>
        <v>335</v>
      </c>
      <c r="K51" s="357">
        <v>9.6299999999999997E-2</v>
      </c>
      <c r="L51" s="358">
        <f t="shared" si="6"/>
        <v>28.554875999999997</v>
      </c>
    </row>
    <row r="52" spans="1:12" ht="18" customHeight="1" x14ac:dyDescent="0.25">
      <c r="A52" s="257"/>
      <c r="B52" s="73" t="s">
        <v>25</v>
      </c>
      <c r="C52" s="75">
        <v>6744.56</v>
      </c>
      <c r="D52" s="75"/>
      <c r="E52" s="70"/>
      <c r="F52" s="70">
        <f t="shared" si="1"/>
        <v>6744.56</v>
      </c>
      <c r="G52" s="70">
        <f t="shared" si="2"/>
        <v>539.56479999999999</v>
      </c>
      <c r="H52" s="76">
        <f t="shared" si="8"/>
        <v>44520</v>
      </c>
      <c r="I52" s="74">
        <v>44185</v>
      </c>
      <c r="J52" s="232">
        <f t="shared" si="3"/>
        <v>335</v>
      </c>
      <c r="K52" s="357">
        <v>9.6299999999999997E-2</v>
      </c>
      <c r="L52" s="358">
        <f t="shared" si="6"/>
        <v>649.50112799999999</v>
      </c>
    </row>
    <row r="53" spans="1:12" ht="18" customHeight="1" x14ac:dyDescent="0.25">
      <c r="A53" s="257"/>
      <c r="B53" s="73" t="s">
        <v>60</v>
      </c>
      <c r="C53" s="75">
        <v>1383.04</v>
      </c>
      <c r="D53" s="75"/>
      <c r="E53" s="70"/>
      <c r="F53" s="70">
        <f t="shared" si="1"/>
        <v>1383.04</v>
      </c>
      <c r="G53" s="70">
        <f t="shared" si="2"/>
        <v>110.64319999999999</v>
      </c>
      <c r="H53" s="76">
        <f t="shared" si="8"/>
        <v>44520</v>
      </c>
      <c r="I53" s="74">
        <v>44185</v>
      </c>
      <c r="J53" s="232">
        <f t="shared" si="3"/>
        <v>335</v>
      </c>
      <c r="K53" s="357">
        <v>9.6299999999999997E-2</v>
      </c>
      <c r="L53" s="358">
        <f t="shared" si="6"/>
        <v>133.18675199999998</v>
      </c>
    </row>
    <row r="54" spans="1:12" ht="18" customHeight="1" x14ac:dyDescent="0.25">
      <c r="A54" s="257"/>
      <c r="B54" s="73" t="s">
        <v>26</v>
      </c>
      <c r="C54" s="75">
        <v>4902.72</v>
      </c>
      <c r="D54" s="75"/>
      <c r="E54" s="70"/>
      <c r="F54" s="70">
        <f t="shared" si="1"/>
        <v>4902.72</v>
      </c>
      <c r="G54" s="70">
        <f t="shared" si="2"/>
        <v>392.2176</v>
      </c>
      <c r="H54" s="76">
        <f t="shared" si="8"/>
        <v>44520</v>
      </c>
      <c r="I54" s="74">
        <v>44185</v>
      </c>
      <c r="J54" s="232">
        <f t="shared" si="3"/>
        <v>335</v>
      </c>
      <c r="K54" s="357">
        <v>9.6299999999999997E-2</v>
      </c>
      <c r="L54" s="358">
        <f t="shared" si="6"/>
        <v>472.131936</v>
      </c>
    </row>
    <row r="55" spans="1:12" ht="18" customHeight="1" x14ac:dyDescent="0.25">
      <c r="A55" s="257"/>
      <c r="B55" s="73" t="s">
        <v>124</v>
      </c>
      <c r="C55" s="75">
        <v>2.97</v>
      </c>
      <c r="D55" s="75">
        <v>0</v>
      </c>
      <c r="E55" s="70">
        <f>C55+D55</f>
        <v>2.97</v>
      </c>
      <c r="F55" s="70">
        <f t="shared" si="1"/>
        <v>0</v>
      </c>
      <c r="G55" s="70">
        <f t="shared" si="2"/>
        <v>0.23760000000000003</v>
      </c>
      <c r="H55" s="74">
        <v>44211</v>
      </c>
      <c r="I55" s="74">
        <v>44185</v>
      </c>
      <c r="J55" s="232">
        <f t="shared" si="3"/>
        <v>26</v>
      </c>
      <c r="K55" s="357">
        <v>9.6299999999999997E-2</v>
      </c>
      <c r="L55" s="358">
        <f t="shared" si="6"/>
        <v>0</v>
      </c>
    </row>
    <row r="56" spans="1:12" ht="18" customHeight="1" x14ac:dyDescent="0.25">
      <c r="A56" s="257"/>
      <c r="B56" s="73" t="s">
        <v>61</v>
      </c>
      <c r="C56" s="75">
        <v>2.84</v>
      </c>
      <c r="D56" s="75">
        <v>0</v>
      </c>
      <c r="E56" s="70">
        <f>C56+D56</f>
        <v>2.84</v>
      </c>
      <c r="F56" s="70">
        <f t="shared" si="1"/>
        <v>0</v>
      </c>
      <c r="G56" s="70">
        <f t="shared" si="2"/>
        <v>0.22719999999999999</v>
      </c>
      <c r="H56" s="74">
        <v>44209</v>
      </c>
      <c r="I56" s="74">
        <v>44185</v>
      </c>
      <c r="J56" s="232">
        <f t="shared" si="3"/>
        <v>24</v>
      </c>
      <c r="K56" s="357">
        <v>9.6299999999999997E-2</v>
      </c>
      <c r="L56" s="358">
        <f t="shared" si="6"/>
        <v>0</v>
      </c>
    </row>
    <row r="57" spans="1:12" ht="18" customHeight="1" x14ac:dyDescent="0.25">
      <c r="A57" s="257"/>
      <c r="B57" s="73" t="s">
        <v>8</v>
      </c>
      <c r="C57" s="72">
        <v>8073.94</v>
      </c>
      <c r="D57" s="72"/>
      <c r="E57" s="70"/>
      <c r="F57" s="70">
        <f t="shared" si="1"/>
        <v>8073.94</v>
      </c>
      <c r="G57" s="70">
        <f t="shared" si="2"/>
        <v>645.91520000000003</v>
      </c>
      <c r="H57" s="76">
        <f>H54</f>
        <v>44520</v>
      </c>
      <c r="I57" s="74">
        <v>44185</v>
      </c>
      <c r="J57" s="232">
        <f t="shared" si="3"/>
        <v>335</v>
      </c>
      <c r="K57" s="357">
        <v>9.6299999999999997E-2</v>
      </c>
      <c r="L57" s="358">
        <f t="shared" si="6"/>
        <v>777.52042199999994</v>
      </c>
    </row>
    <row r="58" spans="1:12" ht="18" customHeight="1" x14ac:dyDescent="0.25">
      <c r="A58" s="257"/>
      <c r="B58" s="73" t="s">
        <v>62</v>
      </c>
      <c r="C58" s="75">
        <v>2.15</v>
      </c>
      <c r="D58" s="75"/>
      <c r="E58" s="70"/>
      <c r="F58" s="70">
        <f t="shared" si="1"/>
        <v>2.15</v>
      </c>
      <c r="G58" s="70">
        <f t="shared" si="2"/>
        <v>0.17199999999999999</v>
      </c>
      <c r="H58" s="74">
        <f>H57</f>
        <v>44520</v>
      </c>
      <c r="I58" s="74">
        <v>44185</v>
      </c>
      <c r="J58" s="232">
        <f t="shared" si="3"/>
        <v>335</v>
      </c>
      <c r="K58" s="357">
        <v>9.6299999999999997E-2</v>
      </c>
      <c r="L58" s="358">
        <f t="shared" si="6"/>
        <v>0.20704499999999998</v>
      </c>
    </row>
    <row r="59" spans="1:12" ht="18" customHeight="1" x14ac:dyDescent="0.25">
      <c r="A59" s="257"/>
      <c r="B59" s="73" t="s">
        <v>27</v>
      </c>
      <c r="C59" s="75">
        <v>4205.49</v>
      </c>
      <c r="D59" s="75"/>
      <c r="E59" s="70"/>
      <c r="F59" s="70">
        <f t="shared" si="1"/>
        <v>4205.49</v>
      </c>
      <c r="G59" s="70">
        <f t="shared" si="2"/>
        <v>336.43919999999997</v>
      </c>
      <c r="H59" s="74">
        <f t="shared" ref="H59:H62" si="9">H58</f>
        <v>44520</v>
      </c>
      <c r="I59" s="74">
        <v>44185</v>
      </c>
      <c r="J59" s="232">
        <f t="shared" si="3"/>
        <v>335</v>
      </c>
      <c r="K59" s="357">
        <v>9.6299999999999997E-2</v>
      </c>
      <c r="L59" s="358">
        <f t="shared" si="6"/>
        <v>404.98868699999997</v>
      </c>
    </row>
    <row r="60" spans="1:12" ht="18" customHeight="1" x14ac:dyDescent="0.25">
      <c r="A60" s="257"/>
      <c r="B60" s="73" t="s">
        <v>63</v>
      </c>
      <c r="C60" s="75">
        <v>564.5</v>
      </c>
      <c r="D60" s="75"/>
      <c r="E60" s="70"/>
      <c r="F60" s="70">
        <f t="shared" si="1"/>
        <v>564.5</v>
      </c>
      <c r="G60" s="70">
        <f t="shared" si="2"/>
        <v>45.160000000000004</v>
      </c>
      <c r="H60" s="74">
        <f t="shared" si="9"/>
        <v>44520</v>
      </c>
      <c r="I60" s="74">
        <v>44185</v>
      </c>
      <c r="J60" s="232">
        <f t="shared" si="3"/>
        <v>335</v>
      </c>
      <c r="K60" s="357">
        <v>9.6299999999999997E-2</v>
      </c>
      <c r="L60" s="358">
        <f t="shared" si="6"/>
        <v>54.361350000000002</v>
      </c>
    </row>
    <row r="61" spans="1:12" ht="18" customHeight="1" x14ac:dyDescent="0.25">
      <c r="A61" s="257"/>
      <c r="B61" s="73" t="s">
        <v>125</v>
      </c>
      <c r="C61" s="75">
        <v>10.79</v>
      </c>
      <c r="D61" s="75"/>
      <c r="E61" s="70"/>
      <c r="F61" s="70">
        <f t="shared" si="1"/>
        <v>10.79</v>
      </c>
      <c r="G61" s="70">
        <f t="shared" si="2"/>
        <v>0.86319999999999997</v>
      </c>
      <c r="H61" s="74">
        <f t="shared" si="9"/>
        <v>44520</v>
      </c>
      <c r="I61" s="74">
        <v>44185</v>
      </c>
      <c r="J61" s="232">
        <f t="shared" si="3"/>
        <v>335</v>
      </c>
      <c r="K61" s="357">
        <v>9.6299999999999997E-2</v>
      </c>
      <c r="L61" s="358">
        <f t="shared" si="6"/>
        <v>1.0390769999999998</v>
      </c>
    </row>
    <row r="62" spans="1:12" ht="18" customHeight="1" x14ac:dyDescent="0.25">
      <c r="A62" s="257"/>
      <c r="B62" s="73" t="s">
        <v>65</v>
      </c>
      <c r="C62" s="75">
        <v>833.22</v>
      </c>
      <c r="D62" s="75"/>
      <c r="E62" s="70"/>
      <c r="F62" s="70">
        <f t="shared" si="1"/>
        <v>833.22</v>
      </c>
      <c r="G62" s="70">
        <f t="shared" si="2"/>
        <v>66.657600000000002</v>
      </c>
      <c r="H62" s="74">
        <f t="shared" si="9"/>
        <v>44520</v>
      </c>
      <c r="I62" s="74">
        <v>44185</v>
      </c>
      <c r="J62" s="232">
        <f t="shared" si="3"/>
        <v>335</v>
      </c>
      <c r="K62" s="357">
        <v>9.6299999999999997E-2</v>
      </c>
      <c r="L62" s="358">
        <f t="shared" si="6"/>
        <v>80.239086</v>
      </c>
    </row>
    <row r="63" spans="1:12" ht="18" customHeight="1" x14ac:dyDescent="0.25">
      <c r="A63" s="257"/>
      <c r="B63" s="73" t="s">
        <v>126</v>
      </c>
      <c r="C63" s="75">
        <v>255.24</v>
      </c>
      <c r="D63" s="75">
        <v>0</v>
      </c>
      <c r="E63" s="70">
        <f t="shared" ref="E63" si="10">C63+D63</f>
        <v>255.24</v>
      </c>
      <c r="F63" s="70">
        <f t="shared" si="1"/>
        <v>0</v>
      </c>
      <c r="G63" s="70">
        <f t="shared" si="2"/>
        <v>20.4192</v>
      </c>
      <c r="H63" s="74">
        <v>44207</v>
      </c>
      <c r="I63" s="74">
        <v>44185</v>
      </c>
      <c r="J63" s="232">
        <f t="shared" si="3"/>
        <v>22</v>
      </c>
      <c r="K63" s="357">
        <v>9.6299999999999997E-2</v>
      </c>
      <c r="L63" s="358">
        <f t="shared" si="6"/>
        <v>0</v>
      </c>
    </row>
    <row r="64" spans="1:12" ht="18" customHeight="1" x14ac:dyDescent="0.25">
      <c r="A64" s="257"/>
      <c r="B64" s="73" t="s">
        <v>66</v>
      </c>
      <c r="C64" s="75">
        <v>1038.04</v>
      </c>
      <c r="D64" s="75"/>
      <c r="E64" s="70"/>
      <c r="F64" s="70">
        <f t="shared" si="1"/>
        <v>1038.04</v>
      </c>
      <c r="G64" s="70">
        <f t="shared" si="2"/>
        <v>83.043199999999999</v>
      </c>
      <c r="H64" s="74">
        <f>H62</f>
        <v>44520</v>
      </c>
      <c r="I64" s="74">
        <v>44185</v>
      </c>
      <c r="J64" s="232">
        <f t="shared" si="3"/>
        <v>335</v>
      </c>
      <c r="K64" s="357">
        <v>9.6299999999999997E-2</v>
      </c>
      <c r="L64" s="358">
        <f t="shared" si="6"/>
        <v>99.963251999999997</v>
      </c>
    </row>
    <row r="65" spans="1:12" ht="18" customHeight="1" x14ac:dyDescent="0.25">
      <c r="A65" s="257"/>
      <c r="B65" s="77" t="s">
        <v>9</v>
      </c>
      <c r="C65" s="75">
        <v>3980.6</v>
      </c>
      <c r="D65" s="75"/>
      <c r="E65" s="70"/>
      <c r="F65" s="70">
        <f t="shared" si="1"/>
        <v>3980.6</v>
      </c>
      <c r="G65" s="70">
        <f t="shared" si="2"/>
        <v>318.44799999999998</v>
      </c>
      <c r="H65" s="76">
        <f>H64</f>
        <v>44520</v>
      </c>
      <c r="I65" s="74">
        <v>44185</v>
      </c>
      <c r="J65" s="232">
        <f t="shared" si="3"/>
        <v>335</v>
      </c>
      <c r="K65" s="357">
        <v>9.6299999999999997E-2</v>
      </c>
      <c r="L65" s="358">
        <f t="shared" ref="L65:L92" si="11">F65*K65</f>
        <v>383.33177999999998</v>
      </c>
    </row>
    <row r="66" spans="1:12" ht="18" customHeight="1" x14ac:dyDescent="0.25">
      <c r="A66" s="257"/>
      <c r="B66" s="73" t="s">
        <v>67</v>
      </c>
      <c r="C66" s="75">
        <v>642.29999999999995</v>
      </c>
      <c r="D66" s="75"/>
      <c r="E66" s="70"/>
      <c r="F66" s="70">
        <f t="shared" ref="F66:F113" si="12">SUM(C66+D66)-E66</f>
        <v>642.29999999999995</v>
      </c>
      <c r="G66" s="70">
        <f t="shared" ref="G66:G113" si="13">C66*8%</f>
        <v>51.384</v>
      </c>
      <c r="H66" s="74">
        <f>H65</f>
        <v>44520</v>
      </c>
      <c r="I66" s="74">
        <v>44185</v>
      </c>
      <c r="J66" s="232">
        <f t="shared" ref="J66:J113" si="14">H66-I66</f>
        <v>335</v>
      </c>
      <c r="K66" s="357">
        <v>9.6299999999999997E-2</v>
      </c>
      <c r="L66" s="358">
        <f t="shared" si="11"/>
        <v>61.853489999999994</v>
      </c>
    </row>
    <row r="67" spans="1:12" ht="18" customHeight="1" x14ac:dyDescent="0.25">
      <c r="A67" s="257"/>
      <c r="B67" s="73" t="s">
        <v>68</v>
      </c>
      <c r="C67" s="75">
        <v>1211.93</v>
      </c>
      <c r="D67" s="75"/>
      <c r="E67" s="70"/>
      <c r="F67" s="70">
        <f t="shared" si="12"/>
        <v>1211.93</v>
      </c>
      <c r="G67" s="70">
        <f t="shared" si="13"/>
        <v>96.954400000000007</v>
      </c>
      <c r="H67" s="74">
        <f>H66</f>
        <v>44520</v>
      </c>
      <c r="I67" s="74">
        <v>44185</v>
      </c>
      <c r="J67" s="232">
        <f t="shared" si="14"/>
        <v>335</v>
      </c>
      <c r="K67" s="357">
        <v>9.6299999999999997E-2</v>
      </c>
      <c r="L67" s="358">
        <f t="shared" si="11"/>
        <v>116.708859</v>
      </c>
    </row>
    <row r="68" spans="1:12" ht="18" customHeight="1" x14ac:dyDescent="0.25">
      <c r="A68" s="257"/>
      <c r="B68" s="73" t="s">
        <v>69</v>
      </c>
      <c r="C68" s="75">
        <v>356.88</v>
      </c>
      <c r="D68" s="75"/>
      <c r="E68" s="70"/>
      <c r="F68" s="70">
        <f t="shared" si="12"/>
        <v>356.88</v>
      </c>
      <c r="G68" s="70">
        <f t="shared" si="13"/>
        <v>28.5504</v>
      </c>
      <c r="H68" s="76">
        <f>H67</f>
        <v>44520</v>
      </c>
      <c r="I68" s="74">
        <v>44185</v>
      </c>
      <c r="J68" s="232">
        <f t="shared" si="14"/>
        <v>335</v>
      </c>
      <c r="K68" s="357">
        <v>9.6299999999999997E-2</v>
      </c>
      <c r="L68" s="358">
        <f t="shared" si="11"/>
        <v>34.367543999999995</v>
      </c>
    </row>
    <row r="69" spans="1:12" ht="18" customHeight="1" x14ac:dyDescent="0.25">
      <c r="A69" s="257"/>
      <c r="B69" s="73" t="s">
        <v>128</v>
      </c>
      <c r="C69" s="75">
        <v>0.37</v>
      </c>
      <c r="D69" s="75">
        <v>0</v>
      </c>
      <c r="E69" s="70">
        <f>C69+D69</f>
        <v>0.37</v>
      </c>
      <c r="F69" s="70">
        <f t="shared" si="12"/>
        <v>0</v>
      </c>
      <c r="G69" s="70">
        <f t="shared" si="13"/>
        <v>2.9600000000000001E-2</v>
      </c>
      <c r="H69" s="76">
        <v>44209</v>
      </c>
      <c r="I69" s="74">
        <v>44185</v>
      </c>
      <c r="J69" s="232">
        <f t="shared" si="14"/>
        <v>24</v>
      </c>
      <c r="K69" s="357">
        <v>9.6299999999999997E-2</v>
      </c>
      <c r="L69" s="358">
        <f t="shared" si="11"/>
        <v>0</v>
      </c>
    </row>
    <row r="70" spans="1:12" ht="18" customHeight="1" x14ac:dyDescent="0.25">
      <c r="A70" s="257"/>
      <c r="B70" s="73" t="s">
        <v>71</v>
      </c>
      <c r="C70" s="75">
        <v>246.21</v>
      </c>
      <c r="D70" s="75">
        <v>17.190000000000001</v>
      </c>
      <c r="E70" s="70">
        <f>C70+D70</f>
        <v>263.40000000000003</v>
      </c>
      <c r="F70" s="70">
        <f t="shared" si="12"/>
        <v>0</v>
      </c>
      <c r="G70" s="70">
        <f t="shared" si="13"/>
        <v>19.6968</v>
      </c>
      <c r="H70" s="76">
        <v>44421</v>
      </c>
      <c r="I70" s="74">
        <v>44185</v>
      </c>
      <c r="J70" s="232">
        <f t="shared" si="14"/>
        <v>236</v>
      </c>
      <c r="K70" s="357">
        <v>9.6299999999999997E-2</v>
      </c>
      <c r="L70" s="358">
        <f t="shared" si="11"/>
        <v>0</v>
      </c>
    </row>
    <row r="71" spans="1:12" ht="18" customHeight="1" x14ac:dyDescent="0.25">
      <c r="A71" s="257"/>
      <c r="B71" s="73" t="s">
        <v>72</v>
      </c>
      <c r="C71" s="75">
        <v>7.67</v>
      </c>
      <c r="D71" s="75"/>
      <c r="E71" s="70"/>
      <c r="F71" s="70">
        <f t="shared" si="12"/>
        <v>7.67</v>
      </c>
      <c r="G71" s="70">
        <f t="shared" si="13"/>
        <v>0.61360000000000003</v>
      </c>
      <c r="H71" s="76" t="e">
        <f>#REF!</f>
        <v>#REF!</v>
      </c>
      <c r="I71" s="74">
        <v>44185</v>
      </c>
      <c r="J71" s="232" t="e">
        <f t="shared" si="14"/>
        <v>#REF!</v>
      </c>
      <c r="K71" s="357">
        <v>9.6299999999999997E-2</v>
      </c>
      <c r="L71" s="358">
        <f t="shared" si="11"/>
        <v>0.73862099999999997</v>
      </c>
    </row>
    <row r="72" spans="1:12" ht="18" customHeight="1" x14ac:dyDescent="0.25">
      <c r="A72" s="258"/>
      <c r="B72" s="73" t="s">
        <v>129</v>
      </c>
      <c r="C72" s="75">
        <v>62.98</v>
      </c>
      <c r="D72" s="75"/>
      <c r="E72" s="70"/>
      <c r="F72" s="70">
        <f t="shared" si="12"/>
        <v>62.98</v>
      </c>
      <c r="G72" s="70">
        <f t="shared" si="13"/>
        <v>5.0384000000000002</v>
      </c>
      <c r="H72" s="76" t="e">
        <f>H71</f>
        <v>#REF!</v>
      </c>
      <c r="I72" s="74">
        <v>44185</v>
      </c>
      <c r="J72" s="232" t="e">
        <f t="shared" si="14"/>
        <v>#REF!</v>
      </c>
      <c r="K72" s="357">
        <v>9.6299999999999997E-2</v>
      </c>
      <c r="L72" s="358">
        <f t="shared" si="11"/>
        <v>6.0649739999999994</v>
      </c>
    </row>
    <row r="73" spans="1:12" ht="18" customHeight="1" x14ac:dyDescent="0.25">
      <c r="A73" s="257"/>
      <c r="B73" s="73" t="s">
        <v>28</v>
      </c>
      <c r="C73" s="75">
        <v>1873.73</v>
      </c>
      <c r="D73" s="75"/>
      <c r="E73" s="70"/>
      <c r="F73" s="70">
        <f t="shared" si="12"/>
        <v>1873.73</v>
      </c>
      <c r="G73" s="70">
        <f t="shared" si="13"/>
        <v>149.89840000000001</v>
      </c>
      <c r="H73" s="76" t="e">
        <f t="shared" ref="H73:H82" si="15">H72</f>
        <v>#REF!</v>
      </c>
      <c r="I73" s="74">
        <v>44185</v>
      </c>
      <c r="J73" s="232" t="e">
        <f t="shared" si="14"/>
        <v>#REF!</v>
      </c>
      <c r="K73" s="357">
        <v>9.6299999999999997E-2</v>
      </c>
      <c r="L73" s="358">
        <f t="shared" si="11"/>
        <v>180.44019900000001</v>
      </c>
    </row>
    <row r="74" spans="1:12" ht="18" customHeight="1" x14ac:dyDescent="0.25">
      <c r="A74" s="257"/>
      <c r="B74" s="73" t="s">
        <v>74</v>
      </c>
      <c r="C74" s="75">
        <v>3456.59</v>
      </c>
      <c r="D74" s="75"/>
      <c r="E74" s="70"/>
      <c r="F74" s="70">
        <f t="shared" si="12"/>
        <v>3456.59</v>
      </c>
      <c r="G74" s="70">
        <f t="shared" si="13"/>
        <v>276.52719999999999</v>
      </c>
      <c r="H74" s="76" t="e">
        <f t="shared" si="15"/>
        <v>#REF!</v>
      </c>
      <c r="I74" s="74">
        <v>44185</v>
      </c>
      <c r="J74" s="232" t="e">
        <f t="shared" si="14"/>
        <v>#REF!</v>
      </c>
      <c r="K74" s="357">
        <v>9.6299999999999997E-2</v>
      </c>
      <c r="L74" s="358">
        <f t="shared" si="11"/>
        <v>332.86961700000001</v>
      </c>
    </row>
    <row r="75" spans="1:12" ht="18" customHeight="1" x14ac:dyDescent="0.25">
      <c r="A75" s="257"/>
      <c r="B75" s="73" t="s">
        <v>29</v>
      </c>
      <c r="C75" s="75">
        <v>1340.94</v>
      </c>
      <c r="D75" s="75"/>
      <c r="E75" s="70"/>
      <c r="F75" s="70">
        <f t="shared" si="12"/>
        <v>1340.94</v>
      </c>
      <c r="G75" s="70">
        <f t="shared" si="13"/>
        <v>107.27520000000001</v>
      </c>
      <c r="H75" s="76" t="e">
        <f t="shared" si="15"/>
        <v>#REF!</v>
      </c>
      <c r="I75" s="74">
        <v>44185</v>
      </c>
      <c r="J75" s="232" t="e">
        <f t="shared" si="14"/>
        <v>#REF!</v>
      </c>
      <c r="K75" s="357">
        <v>9.6299999999999997E-2</v>
      </c>
      <c r="L75" s="358">
        <f t="shared" si="11"/>
        <v>129.13252199999999</v>
      </c>
    </row>
    <row r="76" spans="1:12" ht="18" customHeight="1" x14ac:dyDescent="0.25">
      <c r="A76" s="257"/>
      <c r="B76" s="73" t="s">
        <v>75</v>
      </c>
      <c r="C76" s="75">
        <v>1014.76</v>
      </c>
      <c r="D76" s="75"/>
      <c r="E76" s="70"/>
      <c r="F76" s="70">
        <f t="shared" si="12"/>
        <v>1014.76</v>
      </c>
      <c r="G76" s="70">
        <f t="shared" si="13"/>
        <v>81.180800000000005</v>
      </c>
      <c r="H76" s="76" t="e">
        <f t="shared" si="15"/>
        <v>#REF!</v>
      </c>
      <c r="I76" s="74">
        <v>44185</v>
      </c>
      <c r="J76" s="232" t="e">
        <f t="shared" si="14"/>
        <v>#REF!</v>
      </c>
      <c r="K76" s="357">
        <v>9.6299999999999997E-2</v>
      </c>
      <c r="L76" s="358">
        <f t="shared" si="11"/>
        <v>97.72138799999999</v>
      </c>
    </row>
    <row r="77" spans="1:12" ht="18" customHeight="1" x14ac:dyDescent="0.25">
      <c r="A77" s="257"/>
      <c r="B77" s="73" t="s">
        <v>10</v>
      </c>
      <c r="C77" s="75">
        <v>1223.54</v>
      </c>
      <c r="D77" s="75"/>
      <c r="E77" s="70"/>
      <c r="F77" s="70">
        <f t="shared" si="12"/>
        <v>1223.54</v>
      </c>
      <c r="G77" s="70">
        <f t="shared" si="13"/>
        <v>97.883200000000002</v>
      </c>
      <c r="H77" s="76" t="e">
        <f t="shared" si="15"/>
        <v>#REF!</v>
      </c>
      <c r="I77" s="74">
        <v>44185</v>
      </c>
      <c r="J77" s="232" t="e">
        <f t="shared" si="14"/>
        <v>#REF!</v>
      </c>
      <c r="K77" s="357">
        <v>9.6299999999999997E-2</v>
      </c>
      <c r="L77" s="358">
        <f t="shared" si="11"/>
        <v>117.82690199999999</v>
      </c>
    </row>
    <row r="78" spans="1:12" ht="18" customHeight="1" x14ac:dyDescent="0.25">
      <c r="A78" s="257"/>
      <c r="B78" s="73" t="s">
        <v>76</v>
      </c>
      <c r="C78" s="75">
        <v>10.98</v>
      </c>
      <c r="D78" s="75"/>
      <c r="E78" s="70"/>
      <c r="F78" s="70">
        <f t="shared" si="12"/>
        <v>10.98</v>
      </c>
      <c r="G78" s="70">
        <f t="shared" si="13"/>
        <v>0.87840000000000007</v>
      </c>
      <c r="H78" s="76" t="e">
        <f t="shared" si="15"/>
        <v>#REF!</v>
      </c>
      <c r="I78" s="74">
        <v>44185</v>
      </c>
      <c r="J78" s="232" t="e">
        <f t="shared" si="14"/>
        <v>#REF!</v>
      </c>
      <c r="K78" s="357">
        <v>9.6299999999999997E-2</v>
      </c>
      <c r="L78" s="358">
        <f t="shared" si="11"/>
        <v>1.057374</v>
      </c>
    </row>
    <row r="79" spans="1:12" ht="18" customHeight="1" x14ac:dyDescent="0.25">
      <c r="A79" s="257"/>
      <c r="B79" s="73" t="s">
        <v>130</v>
      </c>
      <c r="C79" s="75">
        <v>52.31</v>
      </c>
      <c r="D79" s="75"/>
      <c r="E79" s="70"/>
      <c r="F79" s="70">
        <f t="shared" si="12"/>
        <v>52.31</v>
      </c>
      <c r="G79" s="70">
        <f t="shared" si="13"/>
        <v>4.1848000000000001</v>
      </c>
      <c r="H79" s="76" t="e">
        <f t="shared" si="15"/>
        <v>#REF!</v>
      </c>
      <c r="I79" s="74">
        <v>44185</v>
      </c>
      <c r="J79" s="232" t="e">
        <f t="shared" si="14"/>
        <v>#REF!</v>
      </c>
      <c r="K79" s="357">
        <v>9.6299999999999997E-2</v>
      </c>
      <c r="L79" s="358">
        <f t="shared" si="11"/>
        <v>5.0374530000000002</v>
      </c>
    </row>
    <row r="80" spans="1:12" ht="18" customHeight="1" x14ac:dyDescent="0.25">
      <c r="A80" s="257"/>
      <c r="B80" s="73" t="s">
        <v>77</v>
      </c>
      <c r="C80" s="75">
        <v>1552.55</v>
      </c>
      <c r="D80" s="75"/>
      <c r="E80" s="70"/>
      <c r="F80" s="70">
        <f t="shared" si="12"/>
        <v>1552.55</v>
      </c>
      <c r="G80" s="70">
        <f t="shared" si="13"/>
        <v>124.20399999999999</v>
      </c>
      <c r="H80" s="76" t="e">
        <f t="shared" si="15"/>
        <v>#REF!</v>
      </c>
      <c r="I80" s="74">
        <v>44185</v>
      </c>
      <c r="J80" s="232" t="e">
        <f t="shared" si="14"/>
        <v>#REF!</v>
      </c>
      <c r="K80" s="357">
        <v>9.6299999999999997E-2</v>
      </c>
      <c r="L80" s="358">
        <f t="shared" si="11"/>
        <v>149.51056499999999</v>
      </c>
    </row>
    <row r="81" spans="1:12" ht="18" customHeight="1" x14ac:dyDescent="0.25">
      <c r="A81" s="257"/>
      <c r="B81" s="73" t="s">
        <v>11</v>
      </c>
      <c r="C81" s="72">
        <v>4549.17</v>
      </c>
      <c r="D81" s="72"/>
      <c r="E81" s="70"/>
      <c r="F81" s="70">
        <f t="shared" si="12"/>
        <v>4549.17</v>
      </c>
      <c r="G81" s="70">
        <f t="shared" si="13"/>
        <v>363.93360000000001</v>
      </c>
      <c r="H81" s="76" t="e">
        <f t="shared" si="15"/>
        <v>#REF!</v>
      </c>
      <c r="I81" s="74">
        <v>44185</v>
      </c>
      <c r="J81" s="232" t="e">
        <f t="shared" si="14"/>
        <v>#REF!</v>
      </c>
      <c r="K81" s="357">
        <v>9.6299999999999997E-2</v>
      </c>
      <c r="L81" s="358">
        <f t="shared" si="11"/>
        <v>438.08507099999997</v>
      </c>
    </row>
    <row r="82" spans="1:12" ht="18" customHeight="1" x14ac:dyDescent="0.25">
      <c r="A82" s="257"/>
      <c r="B82" s="73" t="s">
        <v>78</v>
      </c>
      <c r="C82" s="75">
        <v>2184.66</v>
      </c>
      <c r="D82" s="75"/>
      <c r="E82" s="70"/>
      <c r="F82" s="70">
        <f t="shared" si="12"/>
        <v>2184.66</v>
      </c>
      <c r="G82" s="70">
        <f t="shared" si="13"/>
        <v>174.77279999999999</v>
      </c>
      <c r="H82" s="76" t="e">
        <f t="shared" si="15"/>
        <v>#REF!</v>
      </c>
      <c r="I82" s="74">
        <v>44185</v>
      </c>
      <c r="J82" s="232" t="e">
        <f t="shared" si="14"/>
        <v>#REF!</v>
      </c>
      <c r="K82" s="357">
        <v>9.6299999999999997E-2</v>
      </c>
      <c r="L82" s="358">
        <f t="shared" si="11"/>
        <v>210.38275799999997</v>
      </c>
    </row>
    <row r="83" spans="1:12" ht="18" customHeight="1" x14ac:dyDescent="0.25">
      <c r="A83" s="257"/>
      <c r="B83" s="73" t="s">
        <v>131</v>
      </c>
      <c r="C83" s="75">
        <v>315.83999999999997</v>
      </c>
      <c r="D83" s="75">
        <v>0</v>
      </c>
      <c r="E83" s="70">
        <f>C83+D83</f>
        <v>315.83999999999997</v>
      </c>
      <c r="F83" s="70">
        <f t="shared" si="12"/>
        <v>0</v>
      </c>
      <c r="G83" s="70">
        <f t="shared" si="13"/>
        <v>25.267199999999999</v>
      </c>
      <c r="H83" s="76">
        <v>44207</v>
      </c>
      <c r="I83" s="74">
        <v>44185</v>
      </c>
      <c r="J83" s="232">
        <f t="shared" si="14"/>
        <v>22</v>
      </c>
      <c r="K83" s="357">
        <v>9.6299999999999997E-2</v>
      </c>
      <c r="L83" s="358">
        <f t="shared" si="11"/>
        <v>0</v>
      </c>
    </row>
    <row r="84" spans="1:12" ht="18" customHeight="1" x14ac:dyDescent="0.25">
      <c r="A84" s="257"/>
      <c r="B84" s="77" t="s">
        <v>12</v>
      </c>
      <c r="C84" s="75">
        <v>2693.41</v>
      </c>
      <c r="D84" s="75"/>
      <c r="E84" s="70"/>
      <c r="F84" s="70">
        <f t="shared" si="12"/>
        <v>2693.41</v>
      </c>
      <c r="G84" s="70">
        <f t="shared" si="13"/>
        <v>215.47280000000001</v>
      </c>
      <c r="H84" s="76" t="e">
        <f>H82</f>
        <v>#REF!</v>
      </c>
      <c r="I84" s="74">
        <v>44185</v>
      </c>
      <c r="J84" s="232" t="e">
        <f t="shared" si="14"/>
        <v>#REF!</v>
      </c>
      <c r="K84" s="357">
        <v>9.6299999999999997E-2</v>
      </c>
      <c r="L84" s="358">
        <f t="shared" si="11"/>
        <v>259.375383</v>
      </c>
    </row>
    <row r="85" spans="1:12" ht="18" customHeight="1" x14ac:dyDescent="0.25">
      <c r="A85" s="257"/>
      <c r="B85" s="77" t="s">
        <v>13</v>
      </c>
      <c r="C85" s="75">
        <v>4933.58</v>
      </c>
      <c r="D85" s="75"/>
      <c r="E85" s="70"/>
      <c r="F85" s="70">
        <f t="shared" si="12"/>
        <v>4933.58</v>
      </c>
      <c r="G85" s="70">
        <f t="shared" si="13"/>
        <v>394.68639999999999</v>
      </c>
      <c r="H85" s="76" t="e">
        <f>H84</f>
        <v>#REF!</v>
      </c>
      <c r="I85" s="74">
        <v>44185</v>
      </c>
      <c r="J85" s="232" t="e">
        <f t="shared" si="14"/>
        <v>#REF!</v>
      </c>
      <c r="K85" s="357">
        <v>9.6299999999999997E-2</v>
      </c>
      <c r="L85" s="358">
        <f t="shared" si="11"/>
        <v>475.10375399999998</v>
      </c>
    </row>
    <row r="86" spans="1:12" ht="18" customHeight="1" x14ac:dyDescent="0.25">
      <c r="A86" s="257"/>
      <c r="B86" s="73" t="s">
        <v>79</v>
      </c>
      <c r="C86" s="75">
        <v>147.75</v>
      </c>
      <c r="D86" s="75"/>
      <c r="E86" s="70"/>
      <c r="F86" s="70">
        <f t="shared" si="12"/>
        <v>147.75</v>
      </c>
      <c r="G86" s="70">
        <f t="shared" si="13"/>
        <v>11.82</v>
      </c>
      <c r="H86" s="76" t="e">
        <f t="shared" ref="H86:H91" si="16">H85</f>
        <v>#REF!</v>
      </c>
      <c r="I86" s="74">
        <v>44185</v>
      </c>
      <c r="J86" s="232" t="e">
        <f t="shared" si="14"/>
        <v>#REF!</v>
      </c>
      <c r="K86" s="357">
        <v>9.6299999999999997E-2</v>
      </c>
      <c r="L86" s="358">
        <f t="shared" si="11"/>
        <v>14.228325</v>
      </c>
    </row>
    <row r="87" spans="1:12" ht="18" customHeight="1" x14ac:dyDescent="0.25">
      <c r="A87" s="257"/>
      <c r="B87" s="73" t="s">
        <v>80</v>
      </c>
      <c r="C87" s="75">
        <v>1704.19</v>
      </c>
      <c r="D87" s="75"/>
      <c r="E87" s="70"/>
      <c r="F87" s="70">
        <f t="shared" si="12"/>
        <v>1704.19</v>
      </c>
      <c r="G87" s="70">
        <f t="shared" si="13"/>
        <v>136.33520000000001</v>
      </c>
      <c r="H87" s="76" t="e">
        <f t="shared" si="16"/>
        <v>#REF!</v>
      </c>
      <c r="I87" s="74">
        <v>44185</v>
      </c>
      <c r="J87" s="232" t="e">
        <f t="shared" si="14"/>
        <v>#REF!</v>
      </c>
      <c r="K87" s="357">
        <v>9.6299999999999997E-2</v>
      </c>
      <c r="L87" s="358">
        <f t="shared" si="11"/>
        <v>164.113497</v>
      </c>
    </row>
    <row r="88" spans="1:12" ht="18" customHeight="1" x14ac:dyDescent="0.25">
      <c r="A88" s="257"/>
      <c r="B88" s="77" t="s">
        <v>104</v>
      </c>
      <c r="C88" s="75">
        <v>2293.4</v>
      </c>
      <c r="D88" s="75"/>
      <c r="E88" s="70"/>
      <c r="F88" s="70">
        <f t="shared" si="12"/>
        <v>2293.4</v>
      </c>
      <c r="G88" s="70">
        <f t="shared" si="13"/>
        <v>183.47200000000001</v>
      </c>
      <c r="H88" s="76" t="e">
        <f t="shared" si="16"/>
        <v>#REF!</v>
      </c>
      <c r="I88" s="74">
        <v>44185</v>
      </c>
      <c r="J88" s="232" t="e">
        <f t="shared" si="14"/>
        <v>#REF!</v>
      </c>
      <c r="K88" s="357">
        <v>9.6299999999999997E-2</v>
      </c>
      <c r="L88" s="358">
        <f t="shared" si="11"/>
        <v>220.85442</v>
      </c>
    </row>
    <row r="89" spans="1:12" ht="18" customHeight="1" x14ac:dyDescent="0.25">
      <c r="A89" s="257"/>
      <c r="B89" s="73" t="s">
        <v>82</v>
      </c>
      <c r="C89" s="75">
        <v>1605.2</v>
      </c>
      <c r="D89" s="75"/>
      <c r="E89" s="70"/>
      <c r="F89" s="70">
        <f t="shared" si="12"/>
        <v>1605.2</v>
      </c>
      <c r="G89" s="70">
        <f t="shared" si="13"/>
        <v>128.416</v>
      </c>
      <c r="H89" s="76" t="e">
        <f t="shared" si="16"/>
        <v>#REF!</v>
      </c>
      <c r="I89" s="74">
        <v>44185</v>
      </c>
      <c r="J89" s="232" t="e">
        <f t="shared" si="14"/>
        <v>#REF!</v>
      </c>
      <c r="K89" s="357">
        <v>9.6299999999999997E-2</v>
      </c>
      <c r="L89" s="358">
        <f t="shared" si="11"/>
        <v>154.58076</v>
      </c>
    </row>
    <row r="90" spans="1:12" ht="18" customHeight="1" x14ac:dyDescent="0.25">
      <c r="A90" s="257"/>
      <c r="B90" s="73" t="s">
        <v>102</v>
      </c>
      <c r="C90" s="72">
        <v>4813.2299999999996</v>
      </c>
      <c r="D90" s="72"/>
      <c r="E90" s="70"/>
      <c r="F90" s="70">
        <f t="shared" si="12"/>
        <v>4813.2299999999996</v>
      </c>
      <c r="G90" s="70">
        <f t="shared" si="13"/>
        <v>385.05839999999995</v>
      </c>
      <c r="H90" s="76" t="e">
        <f t="shared" si="16"/>
        <v>#REF!</v>
      </c>
      <c r="I90" s="74">
        <v>44185</v>
      </c>
      <c r="J90" s="232" t="e">
        <f t="shared" si="14"/>
        <v>#REF!</v>
      </c>
      <c r="K90" s="357">
        <v>9.6299999999999997E-2</v>
      </c>
      <c r="L90" s="358">
        <f t="shared" si="11"/>
        <v>463.51404899999994</v>
      </c>
    </row>
    <row r="91" spans="1:12" ht="18" customHeight="1" x14ac:dyDescent="0.25">
      <c r="A91" s="257"/>
      <c r="B91" s="73" t="s">
        <v>112</v>
      </c>
      <c r="C91" s="75">
        <v>7.67</v>
      </c>
      <c r="D91" s="75"/>
      <c r="E91" s="70"/>
      <c r="F91" s="70">
        <f t="shared" si="12"/>
        <v>7.67</v>
      </c>
      <c r="G91" s="70">
        <f t="shared" si="13"/>
        <v>0.61360000000000003</v>
      </c>
      <c r="H91" s="76" t="e">
        <f t="shared" si="16"/>
        <v>#REF!</v>
      </c>
      <c r="I91" s="74">
        <v>44185</v>
      </c>
      <c r="J91" s="232" t="e">
        <f t="shared" si="14"/>
        <v>#REF!</v>
      </c>
      <c r="K91" s="357">
        <v>9.6299999999999997E-2</v>
      </c>
      <c r="L91" s="358">
        <f t="shared" si="11"/>
        <v>0.73862099999999997</v>
      </c>
    </row>
    <row r="92" spans="1:12" ht="18" customHeight="1" x14ac:dyDescent="0.25">
      <c r="A92" s="257"/>
      <c r="B92" s="73" t="s">
        <v>132</v>
      </c>
      <c r="C92" s="75">
        <v>4.1500000000000004</v>
      </c>
      <c r="D92" s="75">
        <v>0.36</v>
      </c>
      <c r="E92" s="70">
        <f>C92+D92</f>
        <v>4.5100000000000007</v>
      </c>
      <c r="F92" s="70">
        <f t="shared" si="12"/>
        <v>0</v>
      </c>
      <c r="G92" s="70">
        <f t="shared" si="13"/>
        <v>0.33200000000000002</v>
      </c>
      <c r="H92" s="76">
        <v>44475</v>
      </c>
      <c r="I92" s="74">
        <v>44185</v>
      </c>
      <c r="J92" s="232">
        <f t="shared" si="14"/>
        <v>290</v>
      </c>
      <c r="K92" s="357">
        <v>9.6299999999999997E-2</v>
      </c>
      <c r="L92" s="358">
        <f t="shared" si="11"/>
        <v>0</v>
      </c>
    </row>
    <row r="93" spans="1:12" ht="18" customHeight="1" x14ac:dyDescent="0.25">
      <c r="A93" s="257"/>
      <c r="B93" s="73" t="s">
        <v>133</v>
      </c>
      <c r="C93" s="75">
        <v>2.97</v>
      </c>
      <c r="D93" s="75"/>
      <c r="E93" s="70"/>
      <c r="F93" s="70">
        <f t="shared" si="12"/>
        <v>2.97</v>
      </c>
      <c r="G93" s="70">
        <f t="shared" si="13"/>
        <v>0.23760000000000003</v>
      </c>
      <c r="H93" s="76" t="e">
        <f>#REF!</f>
        <v>#REF!</v>
      </c>
      <c r="I93" s="74">
        <v>44185</v>
      </c>
      <c r="J93" s="232" t="e">
        <f t="shared" si="14"/>
        <v>#REF!</v>
      </c>
      <c r="K93" s="357">
        <v>9.6299999999999997E-2</v>
      </c>
      <c r="L93" s="358">
        <f t="shared" ref="L93:L113" si="17">F93*K93</f>
        <v>0.28601100000000002</v>
      </c>
    </row>
    <row r="94" spans="1:12" ht="18" customHeight="1" x14ac:dyDescent="0.25">
      <c r="A94" s="257"/>
      <c r="B94" s="73" t="s">
        <v>84</v>
      </c>
      <c r="C94" s="75">
        <v>4.33</v>
      </c>
      <c r="D94" s="75">
        <v>0.34</v>
      </c>
      <c r="E94" s="70">
        <f>C94+D94</f>
        <v>4.67</v>
      </c>
      <c r="F94" s="70">
        <f t="shared" si="12"/>
        <v>0</v>
      </c>
      <c r="G94" s="70">
        <f t="shared" si="13"/>
        <v>0.34639999999999999</v>
      </c>
      <c r="H94" s="76">
        <v>44441</v>
      </c>
      <c r="I94" s="74">
        <v>44185</v>
      </c>
      <c r="J94" s="232">
        <f t="shared" si="14"/>
        <v>256</v>
      </c>
      <c r="K94" s="357">
        <v>9.6299999999999997E-2</v>
      </c>
      <c r="L94" s="358">
        <f t="shared" si="17"/>
        <v>0</v>
      </c>
    </row>
    <row r="95" spans="1:12" ht="18" customHeight="1" x14ac:dyDescent="0.25">
      <c r="A95" s="257"/>
      <c r="B95" s="73" t="s">
        <v>31</v>
      </c>
      <c r="C95" s="75">
        <v>3707.59</v>
      </c>
      <c r="D95" s="75"/>
      <c r="E95" s="70"/>
      <c r="F95" s="70">
        <f t="shared" si="12"/>
        <v>3707.59</v>
      </c>
      <c r="G95" s="70">
        <f t="shared" si="13"/>
        <v>296.60720000000003</v>
      </c>
      <c r="H95" s="74" t="e">
        <f>H93</f>
        <v>#REF!</v>
      </c>
      <c r="I95" s="74">
        <v>44185</v>
      </c>
      <c r="J95" s="232" t="e">
        <f t="shared" si="14"/>
        <v>#REF!</v>
      </c>
      <c r="K95" s="357">
        <v>9.6299999999999997E-2</v>
      </c>
      <c r="L95" s="358">
        <f t="shared" si="17"/>
        <v>357.04091699999998</v>
      </c>
    </row>
    <row r="96" spans="1:12" ht="18" customHeight="1" x14ac:dyDescent="0.25">
      <c r="A96" s="257"/>
      <c r="B96" s="73" t="s">
        <v>85</v>
      </c>
      <c r="C96" s="75">
        <v>9.76</v>
      </c>
      <c r="D96" s="75"/>
      <c r="E96" s="70"/>
      <c r="F96" s="70">
        <f t="shared" si="12"/>
        <v>9.76</v>
      </c>
      <c r="G96" s="70">
        <f t="shared" si="13"/>
        <v>0.78080000000000005</v>
      </c>
      <c r="H96" s="76" t="e">
        <f>H95</f>
        <v>#REF!</v>
      </c>
      <c r="I96" s="74">
        <v>44185</v>
      </c>
      <c r="J96" s="232" t="e">
        <f t="shared" si="14"/>
        <v>#REF!</v>
      </c>
      <c r="K96" s="357">
        <v>9.6299999999999997E-2</v>
      </c>
      <c r="L96" s="358">
        <f t="shared" si="17"/>
        <v>0.93988799999999995</v>
      </c>
    </row>
    <row r="97" spans="1:12" ht="18" customHeight="1" x14ac:dyDescent="0.25">
      <c r="A97" s="257"/>
      <c r="B97" s="73" t="s">
        <v>32</v>
      </c>
      <c r="C97" s="75">
        <v>1690.21</v>
      </c>
      <c r="D97" s="75"/>
      <c r="E97" s="70"/>
      <c r="F97" s="70">
        <f t="shared" si="12"/>
        <v>1690.21</v>
      </c>
      <c r="G97" s="70">
        <f t="shared" si="13"/>
        <v>135.21680000000001</v>
      </c>
      <c r="H97" s="76" t="e">
        <f>#REF!</f>
        <v>#REF!</v>
      </c>
      <c r="I97" s="74">
        <v>44185</v>
      </c>
      <c r="J97" s="232" t="e">
        <f t="shared" si="14"/>
        <v>#REF!</v>
      </c>
      <c r="K97" s="357">
        <v>9.6299999999999997E-2</v>
      </c>
      <c r="L97" s="358">
        <f t="shared" si="17"/>
        <v>162.767223</v>
      </c>
    </row>
    <row r="98" spans="1:12" ht="18" customHeight="1" x14ac:dyDescent="0.25">
      <c r="A98" s="257"/>
      <c r="B98" s="73" t="s">
        <v>87</v>
      </c>
      <c r="C98" s="75">
        <v>4.5199999999999996</v>
      </c>
      <c r="D98" s="75"/>
      <c r="E98" s="70"/>
      <c r="F98" s="70">
        <f t="shared" si="12"/>
        <v>4.5199999999999996</v>
      </c>
      <c r="G98" s="70">
        <f t="shared" si="13"/>
        <v>0.36159999999999998</v>
      </c>
      <c r="H98" s="76" t="e">
        <f t="shared" ref="H98:H101" si="18">H97</f>
        <v>#REF!</v>
      </c>
      <c r="I98" s="74">
        <v>44185</v>
      </c>
      <c r="J98" s="232" t="e">
        <f t="shared" si="14"/>
        <v>#REF!</v>
      </c>
      <c r="K98" s="357">
        <v>9.6299999999999997E-2</v>
      </c>
      <c r="L98" s="358">
        <f t="shared" si="17"/>
        <v>0.43527599999999994</v>
      </c>
    </row>
    <row r="99" spans="1:12" ht="18" customHeight="1" x14ac:dyDescent="0.25">
      <c r="A99" s="257"/>
      <c r="B99" s="73" t="s">
        <v>88</v>
      </c>
      <c r="C99" s="75">
        <v>7.38</v>
      </c>
      <c r="D99" s="75"/>
      <c r="E99" s="70"/>
      <c r="F99" s="70">
        <f t="shared" si="12"/>
        <v>7.38</v>
      </c>
      <c r="G99" s="70">
        <f t="shared" si="13"/>
        <v>0.59040000000000004</v>
      </c>
      <c r="H99" s="76" t="e">
        <f t="shared" si="18"/>
        <v>#REF!</v>
      </c>
      <c r="I99" s="74">
        <v>44185</v>
      </c>
      <c r="J99" s="232" t="e">
        <f t="shared" si="14"/>
        <v>#REF!</v>
      </c>
      <c r="K99" s="357">
        <v>9.6299999999999997E-2</v>
      </c>
      <c r="L99" s="358">
        <f t="shared" si="17"/>
        <v>0.71069399999999994</v>
      </c>
    </row>
    <row r="100" spans="1:12" ht="18" customHeight="1" x14ac:dyDescent="0.25">
      <c r="A100" s="257"/>
      <c r="B100" s="73" t="s">
        <v>89</v>
      </c>
      <c r="C100" s="75">
        <v>7.45</v>
      </c>
      <c r="D100" s="75"/>
      <c r="E100" s="70"/>
      <c r="F100" s="70">
        <f t="shared" si="12"/>
        <v>7.45</v>
      </c>
      <c r="G100" s="70">
        <f t="shared" si="13"/>
        <v>0.59599999999999997</v>
      </c>
      <c r="H100" s="76" t="e">
        <f t="shared" si="18"/>
        <v>#REF!</v>
      </c>
      <c r="I100" s="74">
        <v>44185</v>
      </c>
      <c r="J100" s="232" t="e">
        <f t="shared" si="14"/>
        <v>#REF!</v>
      </c>
      <c r="K100" s="357">
        <v>9.6299999999999997E-2</v>
      </c>
      <c r="L100" s="358">
        <f t="shared" si="17"/>
        <v>0.71743500000000004</v>
      </c>
    </row>
    <row r="101" spans="1:12" ht="18" customHeight="1" x14ac:dyDescent="0.25">
      <c r="A101" s="257"/>
      <c r="B101" s="73" t="s">
        <v>90</v>
      </c>
      <c r="C101" s="75">
        <v>10.45</v>
      </c>
      <c r="D101" s="75"/>
      <c r="E101" s="70"/>
      <c r="F101" s="70">
        <f t="shared" si="12"/>
        <v>10.45</v>
      </c>
      <c r="G101" s="70">
        <f t="shared" si="13"/>
        <v>0.83599999999999997</v>
      </c>
      <c r="H101" s="76" t="e">
        <f t="shared" si="18"/>
        <v>#REF!</v>
      </c>
      <c r="I101" s="74">
        <v>44185</v>
      </c>
      <c r="J101" s="232" t="e">
        <f t="shared" si="14"/>
        <v>#REF!</v>
      </c>
      <c r="K101" s="357">
        <v>9.6299999999999997E-2</v>
      </c>
      <c r="L101" s="358">
        <f t="shared" si="17"/>
        <v>1.006335</v>
      </c>
    </row>
    <row r="102" spans="1:12" ht="18" customHeight="1" x14ac:dyDescent="0.25">
      <c r="A102" s="257"/>
      <c r="B102" s="73" t="s">
        <v>91</v>
      </c>
      <c r="C102" s="75">
        <v>2.13</v>
      </c>
      <c r="D102" s="75">
        <v>0</v>
      </c>
      <c r="E102" s="70">
        <f>C102+D102</f>
        <v>2.13</v>
      </c>
      <c r="F102" s="70">
        <f t="shared" si="12"/>
        <v>0</v>
      </c>
      <c r="G102" s="70">
        <f t="shared" si="13"/>
        <v>0.1704</v>
      </c>
      <c r="H102" s="76">
        <v>44209</v>
      </c>
      <c r="I102" s="74">
        <v>44185</v>
      </c>
      <c r="J102" s="232">
        <f t="shared" si="14"/>
        <v>24</v>
      </c>
      <c r="K102" s="357">
        <v>9.6299999999999997E-2</v>
      </c>
      <c r="L102" s="358">
        <f t="shared" si="17"/>
        <v>0</v>
      </c>
    </row>
    <row r="103" spans="1:12" ht="18" customHeight="1" x14ac:dyDescent="0.25">
      <c r="A103" s="257"/>
      <c r="B103" s="73" t="s">
        <v>93</v>
      </c>
      <c r="C103" s="75">
        <v>2.97</v>
      </c>
      <c r="D103" s="75"/>
      <c r="E103" s="70"/>
      <c r="F103" s="70">
        <f t="shared" si="12"/>
        <v>2.97</v>
      </c>
      <c r="G103" s="70">
        <f t="shared" si="13"/>
        <v>0.23760000000000003</v>
      </c>
      <c r="H103" s="76" t="e">
        <f>#REF!</f>
        <v>#REF!</v>
      </c>
      <c r="I103" s="74">
        <v>44185</v>
      </c>
      <c r="J103" s="232" t="e">
        <f t="shared" si="14"/>
        <v>#REF!</v>
      </c>
      <c r="K103" s="357">
        <v>9.6299999999999997E-2</v>
      </c>
      <c r="L103" s="358">
        <f t="shared" si="17"/>
        <v>0.28601100000000002</v>
      </c>
    </row>
    <row r="104" spans="1:12" ht="18" customHeight="1" x14ac:dyDescent="0.25">
      <c r="A104" s="257"/>
      <c r="B104" s="73" t="s">
        <v>94</v>
      </c>
      <c r="C104" s="75">
        <v>1214.5</v>
      </c>
      <c r="D104" s="75"/>
      <c r="E104" s="70"/>
      <c r="F104" s="70">
        <f t="shared" si="12"/>
        <v>1214.5</v>
      </c>
      <c r="G104" s="70">
        <f t="shared" si="13"/>
        <v>97.16</v>
      </c>
      <c r="H104" s="76" t="e">
        <f t="shared" ref="H104:H106" si="19">H103</f>
        <v>#REF!</v>
      </c>
      <c r="I104" s="74">
        <v>44185</v>
      </c>
      <c r="J104" s="232" t="e">
        <f t="shared" si="14"/>
        <v>#REF!</v>
      </c>
      <c r="K104" s="357">
        <v>9.6299999999999997E-2</v>
      </c>
      <c r="L104" s="358">
        <f t="shared" si="17"/>
        <v>116.95635</v>
      </c>
    </row>
    <row r="105" spans="1:12" ht="18" customHeight="1" x14ac:dyDescent="0.25">
      <c r="A105" s="257"/>
      <c r="B105" s="73" t="s">
        <v>95</v>
      </c>
      <c r="C105" s="75">
        <v>2797.2</v>
      </c>
      <c r="D105" s="75"/>
      <c r="E105" s="70"/>
      <c r="F105" s="70">
        <f t="shared" si="12"/>
        <v>2797.2</v>
      </c>
      <c r="G105" s="70">
        <f t="shared" si="13"/>
        <v>223.77599999999998</v>
      </c>
      <c r="H105" s="76" t="e">
        <f t="shared" si="19"/>
        <v>#REF!</v>
      </c>
      <c r="I105" s="74">
        <v>44185</v>
      </c>
      <c r="J105" s="232" t="e">
        <f t="shared" si="14"/>
        <v>#REF!</v>
      </c>
      <c r="K105" s="357">
        <v>9.6299999999999997E-2</v>
      </c>
      <c r="L105" s="358">
        <f t="shared" si="17"/>
        <v>269.37035999999995</v>
      </c>
    </row>
    <row r="106" spans="1:12" ht="18" customHeight="1" x14ac:dyDescent="0.25">
      <c r="A106" s="257"/>
      <c r="B106" s="77" t="s">
        <v>15</v>
      </c>
      <c r="C106" s="75">
        <v>1157.55</v>
      </c>
      <c r="D106" s="75"/>
      <c r="E106" s="70"/>
      <c r="F106" s="70">
        <f t="shared" si="12"/>
        <v>1157.55</v>
      </c>
      <c r="G106" s="70">
        <f t="shared" si="13"/>
        <v>92.603999999999999</v>
      </c>
      <c r="H106" s="76" t="e">
        <f t="shared" si="19"/>
        <v>#REF!</v>
      </c>
      <c r="I106" s="74">
        <v>44185</v>
      </c>
      <c r="J106" s="232" t="e">
        <f t="shared" si="14"/>
        <v>#REF!</v>
      </c>
      <c r="K106" s="357">
        <v>9.6299999999999997E-2</v>
      </c>
      <c r="L106" s="358">
        <f t="shared" si="17"/>
        <v>111.47206499999999</v>
      </c>
    </row>
    <row r="107" spans="1:12" ht="18" customHeight="1" x14ac:dyDescent="0.25">
      <c r="A107" s="257"/>
      <c r="B107" s="73" t="s">
        <v>134</v>
      </c>
      <c r="C107" s="75">
        <v>391.09</v>
      </c>
      <c r="D107" s="75">
        <v>0</v>
      </c>
      <c r="E107" s="70">
        <f t="shared" ref="E107:E109" si="20">C107+D107</f>
        <v>391.09</v>
      </c>
      <c r="F107" s="70">
        <f t="shared" si="12"/>
        <v>0</v>
      </c>
      <c r="G107" s="70">
        <f t="shared" si="13"/>
        <v>31.287199999999999</v>
      </c>
      <c r="H107" s="76">
        <v>44207</v>
      </c>
      <c r="I107" s="74">
        <v>44185</v>
      </c>
      <c r="J107" s="232">
        <f t="shared" si="14"/>
        <v>22</v>
      </c>
      <c r="K107" s="357">
        <v>9.6299999999999997E-2</v>
      </c>
      <c r="L107" s="358">
        <f t="shared" si="17"/>
        <v>0</v>
      </c>
    </row>
    <row r="108" spans="1:12" ht="18" customHeight="1" x14ac:dyDescent="0.25">
      <c r="A108" s="257"/>
      <c r="B108" s="73" t="s">
        <v>96</v>
      </c>
      <c r="C108" s="75">
        <v>4.33</v>
      </c>
      <c r="D108" s="75">
        <v>0.3</v>
      </c>
      <c r="E108" s="70">
        <f t="shared" si="20"/>
        <v>4.63</v>
      </c>
      <c r="F108" s="70">
        <f t="shared" si="12"/>
        <v>0</v>
      </c>
      <c r="G108" s="70">
        <f t="shared" si="13"/>
        <v>0.34639999999999999</v>
      </c>
      <c r="H108" s="76">
        <v>44421</v>
      </c>
      <c r="I108" s="74">
        <v>44185</v>
      </c>
      <c r="J108" s="232">
        <f t="shared" si="14"/>
        <v>236</v>
      </c>
      <c r="K108" s="357">
        <v>9.6299999999999997E-2</v>
      </c>
      <c r="L108" s="358">
        <f t="shared" si="17"/>
        <v>0</v>
      </c>
    </row>
    <row r="109" spans="1:12" ht="18" customHeight="1" x14ac:dyDescent="0.25">
      <c r="A109" s="257"/>
      <c r="B109" s="73" t="s">
        <v>136</v>
      </c>
      <c r="C109" s="75">
        <v>315.83999999999997</v>
      </c>
      <c r="D109" s="75">
        <v>0</v>
      </c>
      <c r="E109" s="70">
        <f t="shared" si="20"/>
        <v>315.83999999999997</v>
      </c>
      <c r="F109" s="70">
        <f t="shared" si="12"/>
        <v>0</v>
      </c>
      <c r="G109" s="70">
        <f t="shared" si="13"/>
        <v>25.267199999999999</v>
      </c>
      <c r="H109" s="76">
        <v>44207</v>
      </c>
      <c r="I109" s="74">
        <v>44185</v>
      </c>
      <c r="J109" s="232">
        <f t="shared" si="14"/>
        <v>22</v>
      </c>
      <c r="K109" s="357">
        <v>9.6299999999999997E-2</v>
      </c>
      <c r="L109" s="358">
        <f t="shared" si="17"/>
        <v>0</v>
      </c>
    </row>
    <row r="110" spans="1:12" ht="18" customHeight="1" x14ac:dyDescent="0.25">
      <c r="A110" s="257"/>
      <c r="B110" s="73" t="s">
        <v>98</v>
      </c>
      <c r="C110" s="72">
        <v>2269.46</v>
      </c>
      <c r="D110" s="72"/>
      <c r="E110" s="70"/>
      <c r="F110" s="70">
        <f t="shared" si="12"/>
        <v>2269.46</v>
      </c>
      <c r="G110" s="70">
        <f t="shared" si="13"/>
        <v>181.55680000000001</v>
      </c>
      <c r="H110" s="76" t="e">
        <f>#REF!</f>
        <v>#REF!</v>
      </c>
      <c r="I110" s="74">
        <v>44185</v>
      </c>
      <c r="J110" s="232" t="e">
        <f t="shared" si="14"/>
        <v>#REF!</v>
      </c>
      <c r="K110" s="357">
        <v>9.6299999999999997E-2</v>
      </c>
      <c r="L110" s="358">
        <f t="shared" si="17"/>
        <v>218.54899799999998</v>
      </c>
    </row>
    <row r="111" spans="1:12" ht="18" customHeight="1" x14ac:dyDescent="0.25">
      <c r="A111" s="257"/>
      <c r="B111" s="73" t="s">
        <v>99</v>
      </c>
      <c r="C111" s="75">
        <v>1768.08</v>
      </c>
      <c r="D111" s="75"/>
      <c r="E111" s="70"/>
      <c r="F111" s="70">
        <f t="shared" si="12"/>
        <v>1768.08</v>
      </c>
      <c r="G111" s="70">
        <f t="shared" si="13"/>
        <v>141.44640000000001</v>
      </c>
      <c r="H111" s="76" t="e">
        <f>H110</f>
        <v>#REF!</v>
      </c>
      <c r="I111" s="74">
        <v>44185</v>
      </c>
      <c r="J111" s="232" t="e">
        <f t="shared" si="14"/>
        <v>#REF!</v>
      </c>
      <c r="K111" s="357">
        <v>9.6299999999999997E-2</v>
      </c>
      <c r="L111" s="358">
        <f t="shared" si="17"/>
        <v>170.26610399999998</v>
      </c>
    </row>
    <row r="112" spans="1:12" ht="18" customHeight="1" x14ac:dyDescent="0.25">
      <c r="A112" s="257"/>
      <c r="B112" s="73" t="s">
        <v>100</v>
      </c>
      <c r="C112" s="78">
        <v>1000.88</v>
      </c>
      <c r="D112" s="78"/>
      <c r="E112" s="70"/>
      <c r="F112" s="70">
        <f t="shared" si="12"/>
        <v>1000.88</v>
      </c>
      <c r="G112" s="70">
        <f t="shared" si="13"/>
        <v>80.070400000000006</v>
      </c>
      <c r="H112" s="76" t="e">
        <f>H111</f>
        <v>#REF!</v>
      </c>
      <c r="I112" s="74">
        <v>44185</v>
      </c>
      <c r="J112" s="232" t="e">
        <f t="shared" si="14"/>
        <v>#REF!</v>
      </c>
      <c r="K112" s="357">
        <v>9.6299999999999997E-2</v>
      </c>
      <c r="L112" s="358">
        <f t="shared" si="17"/>
        <v>96.384743999999998</v>
      </c>
    </row>
    <row r="113" spans="1:12" ht="18" customHeight="1" x14ac:dyDescent="0.25">
      <c r="A113" s="257"/>
      <c r="B113" s="73" t="s">
        <v>101</v>
      </c>
      <c r="C113" s="78">
        <v>3.07</v>
      </c>
      <c r="D113" s="78">
        <v>0</v>
      </c>
      <c r="E113" s="70">
        <f t="shared" ref="E113" si="21">C113+D113</f>
        <v>3.07</v>
      </c>
      <c r="F113" s="70">
        <f t="shared" si="12"/>
        <v>0</v>
      </c>
      <c r="G113" s="70">
        <f t="shared" si="13"/>
        <v>0.24559999999999998</v>
      </c>
      <c r="H113" s="76">
        <v>44211</v>
      </c>
      <c r="I113" s="74">
        <v>44185</v>
      </c>
      <c r="J113" s="232">
        <f t="shared" si="14"/>
        <v>26</v>
      </c>
      <c r="K113" s="357">
        <v>9.6299999999999997E-2</v>
      </c>
      <c r="L113" s="358">
        <f t="shared" si="17"/>
        <v>0</v>
      </c>
    </row>
    <row r="114" spans="1:12" s="65" customFormat="1" ht="17.25" customHeight="1" x14ac:dyDescent="0.25">
      <c r="A114" s="259"/>
      <c r="B114" s="79" t="s">
        <v>103</v>
      </c>
      <c r="C114" s="80">
        <f>SUBTOTAL(9,C5:C113)</f>
        <v>145895.73999999996</v>
      </c>
      <c r="D114" s="80">
        <f>SUBTOTAL(9,D5:D113)</f>
        <v>18.740000000000002</v>
      </c>
      <c r="E114" s="80">
        <f>SUBTOTAL(9,E5:E113)</f>
        <v>4210.87</v>
      </c>
      <c r="F114" s="70">
        <f>SUM(F5:F113)</f>
        <v>141703.60999999996</v>
      </c>
      <c r="G114" s="70">
        <f>SUM(G5:G113)</f>
        <v>11671.659200000002</v>
      </c>
      <c r="H114" s="81"/>
      <c r="I114" s="74"/>
      <c r="J114" s="81"/>
      <c r="K114" s="81"/>
      <c r="L114" s="81">
        <f>SUM(L5:L113)</f>
        <v>13646.057643000007</v>
      </c>
    </row>
    <row r="118" spans="1:12" x14ac:dyDescent="0.25">
      <c r="E118" s="66"/>
      <c r="F118" s="66"/>
      <c r="G118" s="66"/>
      <c r="H118" s="67"/>
      <c r="I118" s="67"/>
      <c r="J118" s="67"/>
      <c r="K118" s="67"/>
      <c r="L118" s="67"/>
    </row>
    <row r="119" spans="1:12" x14ac:dyDescent="0.25">
      <c r="C119" s="68"/>
      <c r="D119" s="68"/>
      <c r="E119" s="66"/>
      <c r="F119" s="66"/>
      <c r="G119" s="66"/>
    </row>
  </sheetData>
  <autoFilter ref="A4:L113" xr:uid="{00000000-0009-0000-0000-000000000000}"/>
  <mergeCells count="2">
    <mergeCell ref="B1:C1"/>
    <mergeCell ref="B2:C2"/>
  </mergeCells>
  <pageMargins left="0.51181102362204722" right="0.51181102362204722" top="0.47244094488188981" bottom="0.47244094488188981" header="0.31496062992125984" footer="0.31496062992125984"/>
  <pageSetup paperSize="9" scale="7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12836-9D9F-4422-A20C-261949724027}">
  <sheetPr>
    <tabColor rgb="FF00B050"/>
    <pageSetUpPr fitToPage="1"/>
  </sheetPr>
  <dimension ref="A1:L106"/>
  <sheetViews>
    <sheetView showGridLines="0" topLeftCell="B1" workbookViewId="0">
      <selection activeCell="K1" sqref="K1:L1048576"/>
    </sheetView>
  </sheetViews>
  <sheetFormatPr defaultRowHeight="15" x14ac:dyDescent="0.25"/>
  <cols>
    <col min="1" max="1" width="10.42578125" style="13" hidden="1" customWidth="1"/>
    <col min="2" max="2" width="9.85546875" style="13" customWidth="1"/>
    <col min="3" max="3" width="44.7109375" style="13" bestFit="1" customWidth="1"/>
    <col min="4" max="4" width="12.85546875" style="12" customWidth="1"/>
    <col min="5" max="5" width="13.140625" style="34" customWidth="1"/>
    <col min="6" max="6" width="16" style="34" customWidth="1"/>
    <col min="7" max="7" width="12.5703125" style="34" customWidth="1"/>
    <col min="8" max="8" width="11.85546875" style="13" hidden="1" customWidth="1"/>
    <col min="9" max="9" width="11.28515625" style="13" hidden="1" customWidth="1"/>
    <col min="10" max="10" width="14.5703125" style="13" hidden="1" customWidth="1"/>
    <col min="11" max="11" width="13.28515625" style="13" hidden="1" customWidth="1"/>
    <col min="12" max="12" width="16" style="13" hidden="1" customWidth="1"/>
    <col min="13" max="20" width="9.140625" style="13" customWidth="1"/>
    <col min="21" max="16384" width="9.140625" style="13"/>
  </cols>
  <sheetData>
    <row r="1" spans="1:12" x14ac:dyDescent="0.25">
      <c r="A1" s="9"/>
      <c r="B1" s="261"/>
      <c r="C1" s="102"/>
      <c r="D1" s="103"/>
      <c r="E1" s="103"/>
      <c r="F1" s="104"/>
      <c r="G1" s="104"/>
      <c r="H1" s="262"/>
      <c r="I1" s="262"/>
      <c r="J1" s="262"/>
      <c r="K1" s="12"/>
      <c r="L1" s="12"/>
    </row>
    <row r="2" spans="1:12" x14ac:dyDescent="0.25">
      <c r="B2" s="263"/>
      <c r="C2" s="10"/>
      <c r="D2" s="15"/>
      <c r="E2" s="11"/>
      <c r="F2" s="11"/>
      <c r="G2" s="11"/>
      <c r="H2" s="12"/>
      <c r="I2" s="12"/>
      <c r="J2" s="12"/>
      <c r="K2" s="12"/>
      <c r="L2" s="12"/>
    </row>
    <row r="3" spans="1:12" ht="15.75" x14ac:dyDescent="0.25">
      <c r="B3" s="263"/>
      <c r="C3" s="14" t="s">
        <v>198</v>
      </c>
      <c r="D3" s="15"/>
      <c r="E3" s="11"/>
      <c r="F3" s="11"/>
      <c r="G3" s="11"/>
      <c r="H3" s="12"/>
      <c r="I3" s="12"/>
      <c r="J3" s="12"/>
      <c r="K3" s="12"/>
      <c r="L3" s="12"/>
    </row>
    <row r="4" spans="1:12" s="17" customFormat="1" ht="39" customHeight="1" x14ac:dyDescent="0.2">
      <c r="A4" s="16" t="s">
        <v>142</v>
      </c>
      <c r="B4" s="56" t="s">
        <v>143</v>
      </c>
      <c r="C4" s="57" t="s">
        <v>144</v>
      </c>
      <c r="D4" s="39" t="s">
        <v>140</v>
      </c>
      <c r="E4" s="39" t="s">
        <v>163</v>
      </c>
      <c r="F4" s="39" t="s">
        <v>146</v>
      </c>
      <c r="G4" s="39" t="s">
        <v>212</v>
      </c>
      <c r="H4" s="39" t="s">
        <v>147</v>
      </c>
      <c r="I4" s="39" t="s">
        <v>213</v>
      </c>
      <c r="J4" s="39" t="s">
        <v>214</v>
      </c>
      <c r="K4" s="70" t="s">
        <v>255</v>
      </c>
      <c r="L4" s="70" t="s">
        <v>256</v>
      </c>
    </row>
    <row r="5" spans="1:12" ht="16.5" customHeight="1" x14ac:dyDescent="0.25">
      <c r="A5" s="18">
        <v>4855</v>
      </c>
      <c r="B5" s="35">
        <v>0.65</v>
      </c>
      <c r="C5" s="41" t="s">
        <v>1</v>
      </c>
      <c r="D5" s="42">
        <v>3884.34</v>
      </c>
      <c r="E5" s="38">
        <f>ROUND(D5*B5,2)</f>
        <v>2524.8200000000002</v>
      </c>
      <c r="F5" s="39">
        <f>D5-E5</f>
        <v>1359.52</v>
      </c>
      <c r="G5" s="39">
        <f t="shared" ref="G5:G65" si="0">D5*8%</f>
        <v>310.74720000000002</v>
      </c>
      <c r="H5" s="40">
        <v>44208</v>
      </c>
      <c r="I5" s="40">
        <v>44203</v>
      </c>
      <c r="J5" s="233">
        <f t="shared" ref="J5:J65" si="1">H5-I5</f>
        <v>5</v>
      </c>
      <c r="K5" s="394">
        <v>9.6299999999999997E-2</v>
      </c>
      <c r="L5" s="238">
        <f t="shared" ref="L5:L35" si="2">F5*K5</f>
        <v>130.92177599999999</v>
      </c>
    </row>
    <row r="6" spans="1:12" ht="16.5" customHeight="1" x14ac:dyDescent="0.25">
      <c r="A6" s="18">
        <v>4906</v>
      </c>
      <c r="B6" s="35">
        <v>0.65</v>
      </c>
      <c r="C6" s="41" t="s">
        <v>2</v>
      </c>
      <c r="D6" s="42">
        <v>1909.5</v>
      </c>
      <c r="E6" s="38">
        <f t="shared" ref="E6:E66" si="3">ROUND(D6*B6,2)</f>
        <v>1241.18</v>
      </c>
      <c r="F6" s="39">
        <f t="shared" ref="F6:F61" si="4">D6-E6</f>
        <v>668.31999999999994</v>
      </c>
      <c r="G6" s="39">
        <f t="shared" si="0"/>
        <v>152.76</v>
      </c>
      <c r="H6" s="40">
        <v>44207</v>
      </c>
      <c r="I6" s="40">
        <v>44203</v>
      </c>
      <c r="J6" s="233">
        <f t="shared" si="1"/>
        <v>4</v>
      </c>
      <c r="K6" s="394">
        <v>9.6299999999999997E-2</v>
      </c>
      <c r="L6" s="238">
        <f t="shared" si="2"/>
        <v>64.359215999999989</v>
      </c>
    </row>
    <row r="7" spans="1:12" ht="16.5" customHeight="1" x14ac:dyDescent="0.25">
      <c r="A7" s="18">
        <v>4724</v>
      </c>
      <c r="B7" s="35">
        <v>0.65</v>
      </c>
      <c r="C7" s="36" t="s">
        <v>3</v>
      </c>
      <c r="D7" s="42">
        <v>3719.64</v>
      </c>
      <c r="E7" s="38">
        <f t="shared" si="3"/>
        <v>2417.77</v>
      </c>
      <c r="F7" s="39">
        <f t="shared" si="4"/>
        <v>1301.8699999999999</v>
      </c>
      <c r="G7" s="39">
        <f t="shared" si="0"/>
        <v>297.57119999999998</v>
      </c>
      <c r="H7" s="43">
        <v>44204</v>
      </c>
      <c r="I7" s="40">
        <v>44203</v>
      </c>
      <c r="J7" s="233">
        <f t="shared" si="1"/>
        <v>1</v>
      </c>
      <c r="K7" s="394">
        <v>9.6299999999999997E-2</v>
      </c>
      <c r="L7" s="238">
        <f t="shared" si="2"/>
        <v>125.37008099999998</v>
      </c>
    </row>
    <row r="8" spans="1:12" ht="16.5" customHeight="1" x14ac:dyDescent="0.25">
      <c r="A8" s="18">
        <v>4566</v>
      </c>
      <c r="B8" s="35">
        <v>0.65</v>
      </c>
      <c r="C8" s="41" t="s">
        <v>4</v>
      </c>
      <c r="D8" s="42">
        <v>4221.5</v>
      </c>
      <c r="E8" s="38">
        <f t="shared" si="3"/>
        <v>2743.98</v>
      </c>
      <c r="F8" s="39">
        <f t="shared" si="4"/>
        <v>1477.52</v>
      </c>
      <c r="G8" s="39">
        <f t="shared" si="0"/>
        <v>337.72</v>
      </c>
      <c r="H8" s="40">
        <v>44207</v>
      </c>
      <c r="I8" s="40">
        <v>44203</v>
      </c>
      <c r="J8" s="233">
        <f t="shared" si="1"/>
        <v>4</v>
      </c>
      <c r="K8" s="394">
        <v>9.6299999999999997E-2</v>
      </c>
      <c r="L8" s="238">
        <f t="shared" si="2"/>
        <v>142.28517600000001</v>
      </c>
    </row>
    <row r="9" spans="1:12" ht="16.5" customHeight="1" x14ac:dyDescent="0.25">
      <c r="A9" s="18">
        <v>5013</v>
      </c>
      <c r="B9" s="35">
        <v>0.65</v>
      </c>
      <c r="C9" s="41" t="s">
        <v>5</v>
      </c>
      <c r="D9" s="42">
        <v>6635.35</v>
      </c>
      <c r="E9" s="38">
        <f t="shared" si="3"/>
        <v>4312.9799999999996</v>
      </c>
      <c r="F9" s="39">
        <f t="shared" si="4"/>
        <v>2322.3700000000008</v>
      </c>
      <c r="G9" s="39">
        <f t="shared" si="0"/>
        <v>530.82800000000009</v>
      </c>
      <c r="H9" s="43">
        <v>44207</v>
      </c>
      <c r="I9" s="40">
        <v>44203</v>
      </c>
      <c r="J9" s="233">
        <f t="shared" si="1"/>
        <v>4</v>
      </c>
      <c r="K9" s="394">
        <v>9.6299999999999997E-2</v>
      </c>
      <c r="L9" s="238">
        <f t="shared" si="2"/>
        <v>223.64423100000008</v>
      </c>
    </row>
    <row r="10" spans="1:12" ht="16.5" customHeight="1" x14ac:dyDescent="0.25">
      <c r="A10" s="18">
        <v>4677</v>
      </c>
      <c r="B10" s="35">
        <v>0.65</v>
      </c>
      <c r="C10" s="41" t="s">
        <v>6</v>
      </c>
      <c r="D10" s="42">
        <v>3345.19</v>
      </c>
      <c r="E10" s="38">
        <f t="shared" si="3"/>
        <v>2174.37</v>
      </c>
      <c r="F10" s="39">
        <f t="shared" si="4"/>
        <v>1170.8200000000002</v>
      </c>
      <c r="G10" s="39">
        <f t="shared" si="0"/>
        <v>267.61520000000002</v>
      </c>
      <c r="H10" s="40">
        <v>44204</v>
      </c>
      <c r="I10" s="40">
        <v>44203</v>
      </c>
      <c r="J10" s="233">
        <f t="shared" si="1"/>
        <v>1</v>
      </c>
      <c r="K10" s="394">
        <v>9.6299999999999997E-2</v>
      </c>
      <c r="L10" s="238">
        <f t="shared" si="2"/>
        <v>112.74996600000001</v>
      </c>
    </row>
    <row r="11" spans="1:12" ht="16.5" customHeight="1" x14ac:dyDescent="0.25">
      <c r="A11" s="18">
        <v>1490</v>
      </c>
      <c r="B11" s="35">
        <v>0.65</v>
      </c>
      <c r="C11" s="41" t="s">
        <v>7</v>
      </c>
      <c r="D11" s="42">
        <v>2835.18</v>
      </c>
      <c r="E11" s="38">
        <f t="shared" si="3"/>
        <v>1842.87</v>
      </c>
      <c r="F11" s="39">
        <f t="shared" si="4"/>
        <v>992.31</v>
      </c>
      <c r="G11" s="39">
        <f t="shared" si="0"/>
        <v>226.81439999999998</v>
      </c>
      <c r="H11" s="40">
        <v>44207</v>
      </c>
      <c r="I11" s="40">
        <v>44203</v>
      </c>
      <c r="J11" s="233">
        <f t="shared" si="1"/>
        <v>4</v>
      </c>
      <c r="K11" s="394">
        <v>9.6299999999999997E-2</v>
      </c>
      <c r="L11" s="238">
        <f t="shared" si="2"/>
        <v>95.559452999999991</v>
      </c>
    </row>
    <row r="12" spans="1:12" ht="16.5" customHeight="1" x14ac:dyDescent="0.25">
      <c r="A12" s="18">
        <v>4618</v>
      </c>
      <c r="B12" s="35">
        <v>0.65</v>
      </c>
      <c r="C12" s="41" t="s">
        <v>8</v>
      </c>
      <c r="D12" s="42">
        <v>3474.35</v>
      </c>
      <c r="E12" s="38">
        <f t="shared" si="3"/>
        <v>2258.33</v>
      </c>
      <c r="F12" s="39">
        <f t="shared" si="4"/>
        <v>1216.02</v>
      </c>
      <c r="G12" s="39">
        <f t="shared" si="0"/>
        <v>277.94799999999998</v>
      </c>
      <c r="H12" s="40">
        <v>44215</v>
      </c>
      <c r="I12" s="40">
        <v>44203</v>
      </c>
      <c r="J12" s="233">
        <f t="shared" si="1"/>
        <v>12</v>
      </c>
      <c r="K12" s="394">
        <v>9.6299999999999997E-2</v>
      </c>
      <c r="L12" s="238">
        <f t="shared" si="2"/>
        <v>117.10272599999999</v>
      </c>
    </row>
    <row r="13" spans="1:12" ht="16.5" customHeight="1" x14ac:dyDescent="0.25">
      <c r="A13" s="18">
        <v>2380</v>
      </c>
      <c r="B13" s="35">
        <v>0.65</v>
      </c>
      <c r="C13" s="41" t="s">
        <v>9</v>
      </c>
      <c r="D13" s="42">
        <v>3836.39</v>
      </c>
      <c r="E13" s="38">
        <f t="shared" si="3"/>
        <v>2493.65</v>
      </c>
      <c r="F13" s="39">
        <f t="shared" si="4"/>
        <v>1342.7399999999998</v>
      </c>
      <c r="G13" s="39">
        <f t="shared" si="0"/>
        <v>306.91120000000001</v>
      </c>
      <c r="H13" s="40">
        <v>44208</v>
      </c>
      <c r="I13" s="40">
        <v>44203</v>
      </c>
      <c r="J13" s="233">
        <f t="shared" si="1"/>
        <v>5</v>
      </c>
      <c r="K13" s="394">
        <v>9.6299999999999997E-2</v>
      </c>
      <c r="L13" s="238">
        <f t="shared" si="2"/>
        <v>129.30586199999996</v>
      </c>
    </row>
    <row r="14" spans="1:12" ht="16.5" customHeight="1" x14ac:dyDescent="0.25">
      <c r="A14" s="18">
        <v>5007</v>
      </c>
      <c r="B14" s="35">
        <v>0.65</v>
      </c>
      <c r="C14" s="36" t="s">
        <v>10</v>
      </c>
      <c r="D14" s="42">
        <v>1003.78</v>
      </c>
      <c r="E14" s="38">
        <f t="shared" si="3"/>
        <v>652.46</v>
      </c>
      <c r="F14" s="39">
        <f t="shared" si="4"/>
        <v>351.31999999999994</v>
      </c>
      <c r="G14" s="39">
        <f t="shared" si="0"/>
        <v>80.302400000000006</v>
      </c>
      <c r="H14" s="43">
        <v>44207</v>
      </c>
      <c r="I14" s="40">
        <v>44203</v>
      </c>
      <c r="J14" s="233">
        <f t="shared" si="1"/>
        <v>4</v>
      </c>
      <c r="K14" s="394">
        <v>9.6299999999999997E-2</v>
      </c>
      <c r="L14" s="238">
        <f t="shared" si="2"/>
        <v>33.832115999999992</v>
      </c>
    </row>
    <row r="15" spans="1:12" ht="16.5" customHeight="1" x14ac:dyDescent="0.25">
      <c r="A15" s="18">
        <v>2429</v>
      </c>
      <c r="B15" s="35">
        <v>0.65</v>
      </c>
      <c r="C15" s="41" t="s">
        <v>11</v>
      </c>
      <c r="D15" s="42">
        <v>4381.2700000000004</v>
      </c>
      <c r="E15" s="38">
        <f t="shared" si="3"/>
        <v>2847.83</v>
      </c>
      <c r="F15" s="39">
        <f t="shared" si="4"/>
        <v>1533.4400000000005</v>
      </c>
      <c r="G15" s="39">
        <f t="shared" si="0"/>
        <v>350.50160000000005</v>
      </c>
      <c r="H15" s="40">
        <v>44215</v>
      </c>
      <c r="I15" s="40">
        <v>44203</v>
      </c>
      <c r="J15" s="233">
        <f t="shared" si="1"/>
        <v>12</v>
      </c>
      <c r="K15" s="394">
        <v>9.6299999999999997E-2</v>
      </c>
      <c r="L15" s="238">
        <f t="shared" si="2"/>
        <v>147.67027200000004</v>
      </c>
    </row>
    <row r="16" spans="1:12" ht="16.5" customHeight="1" x14ac:dyDescent="0.25">
      <c r="A16" s="18">
        <v>1520</v>
      </c>
      <c r="B16" s="35">
        <v>0.65</v>
      </c>
      <c r="C16" s="41" t="s">
        <v>12</v>
      </c>
      <c r="D16" s="42">
        <v>3672.02</v>
      </c>
      <c r="E16" s="38">
        <f>ROUND(D16*B16,2)</f>
        <v>2386.81</v>
      </c>
      <c r="F16" s="39">
        <f>D16-E16</f>
        <v>1285.21</v>
      </c>
      <c r="G16" s="39">
        <f t="shared" si="0"/>
        <v>293.76159999999999</v>
      </c>
      <c r="H16" s="40">
        <v>44215</v>
      </c>
      <c r="I16" s="40">
        <v>44203</v>
      </c>
      <c r="J16" s="233">
        <f t="shared" si="1"/>
        <v>12</v>
      </c>
      <c r="K16" s="394">
        <v>9.6299999999999997E-2</v>
      </c>
      <c r="L16" s="238">
        <f t="shared" si="2"/>
        <v>123.76572299999999</v>
      </c>
    </row>
    <row r="17" spans="1:12" ht="16.5" customHeight="1" x14ac:dyDescent="0.25">
      <c r="A17" s="18">
        <v>4863</v>
      </c>
      <c r="B17" s="35">
        <v>0.65</v>
      </c>
      <c r="C17" s="41" t="s">
        <v>13</v>
      </c>
      <c r="D17" s="42">
        <v>3052.95</v>
      </c>
      <c r="E17" s="38">
        <f t="shared" si="3"/>
        <v>1984.42</v>
      </c>
      <c r="F17" s="39">
        <f t="shared" si="4"/>
        <v>1068.5299999999997</v>
      </c>
      <c r="G17" s="39">
        <f t="shared" si="0"/>
        <v>244.23599999999999</v>
      </c>
      <c r="H17" s="40">
        <v>44207</v>
      </c>
      <c r="I17" s="40">
        <v>44203</v>
      </c>
      <c r="J17" s="233">
        <f t="shared" si="1"/>
        <v>4</v>
      </c>
      <c r="K17" s="394">
        <v>9.6299999999999997E-2</v>
      </c>
      <c r="L17" s="238">
        <f t="shared" si="2"/>
        <v>102.89943899999997</v>
      </c>
    </row>
    <row r="18" spans="1:12" ht="16.5" customHeight="1" x14ac:dyDescent="0.25">
      <c r="A18" s="18">
        <v>4816</v>
      </c>
      <c r="B18" s="35">
        <v>0.65</v>
      </c>
      <c r="C18" s="41" t="s">
        <v>14</v>
      </c>
      <c r="D18" s="42">
        <v>2122.44</v>
      </c>
      <c r="E18" s="38">
        <f t="shared" si="3"/>
        <v>1379.59</v>
      </c>
      <c r="F18" s="39">
        <f t="shared" si="4"/>
        <v>742.85000000000014</v>
      </c>
      <c r="G18" s="39">
        <f t="shared" si="0"/>
        <v>169.79519999999999</v>
      </c>
      <c r="H18" s="40">
        <v>44203</v>
      </c>
      <c r="I18" s="40">
        <v>44203</v>
      </c>
      <c r="J18" s="233">
        <f t="shared" si="1"/>
        <v>0</v>
      </c>
      <c r="K18" s="394">
        <v>9.6299999999999997E-2</v>
      </c>
      <c r="L18" s="238">
        <f t="shared" si="2"/>
        <v>71.536455000000004</v>
      </c>
    </row>
    <row r="19" spans="1:12" ht="16.5" customHeight="1" x14ac:dyDescent="0.25">
      <c r="A19" s="18">
        <v>2003</v>
      </c>
      <c r="B19" s="35">
        <v>0.65</v>
      </c>
      <c r="C19" s="41" t="s">
        <v>15</v>
      </c>
      <c r="D19" s="42">
        <v>2562.5100000000002</v>
      </c>
      <c r="E19" s="38">
        <f>ROUND(D19*B19,2)</f>
        <v>1665.63</v>
      </c>
      <c r="F19" s="39">
        <f>D19-E19</f>
        <v>896.88000000000011</v>
      </c>
      <c r="G19" s="39">
        <f t="shared" si="0"/>
        <v>205.00080000000003</v>
      </c>
      <c r="H19" s="40">
        <v>44207</v>
      </c>
      <c r="I19" s="40">
        <v>44203</v>
      </c>
      <c r="J19" s="233">
        <f t="shared" si="1"/>
        <v>4</v>
      </c>
      <c r="K19" s="394">
        <v>9.6299999999999997E-2</v>
      </c>
      <c r="L19" s="238">
        <f t="shared" si="2"/>
        <v>86.369544000000005</v>
      </c>
    </row>
    <row r="20" spans="1:12" ht="16.5" customHeight="1" x14ac:dyDescent="0.25">
      <c r="A20" s="21"/>
      <c r="B20" s="45"/>
      <c r="C20" s="46" t="s">
        <v>156</v>
      </c>
      <c r="D20" s="48">
        <f>SUM(D5:D19)</f>
        <v>50656.41</v>
      </c>
      <c r="E20" s="48">
        <f>SUBTOTAL(9,E5:E19)</f>
        <v>32926.69</v>
      </c>
      <c r="F20" s="48">
        <f>SUM(F5:F19)</f>
        <v>17729.719999999998</v>
      </c>
      <c r="G20" s="46">
        <f t="shared" si="0"/>
        <v>4052.5128000000004</v>
      </c>
      <c r="H20" s="47"/>
      <c r="I20" s="47"/>
      <c r="J20" s="234"/>
      <c r="K20" s="395">
        <v>9.6299999999999997E-2</v>
      </c>
      <c r="L20" s="360">
        <f>SUM(L5:L19)</f>
        <v>1707.372036</v>
      </c>
    </row>
    <row r="21" spans="1:12" ht="16.5" customHeight="1" x14ac:dyDescent="0.25">
      <c r="A21" s="22">
        <v>4763</v>
      </c>
      <c r="B21" s="35">
        <v>0.8</v>
      </c>
      <c r="C21" s="41" t="s">
        <v>16</v>
      </c>
      <c r="D21" s="42">
        <v>1031.5999999999999</v>
      </c>
      <c r="E21" s="38">
        <f>ROUND(D21*B21,2)</f>
        <v>825.28</v>
      </c>
      <c r="F21" s="39">
        <f>D21-E21</f>
        <v>206.31999999999994</v>
      </c>
      <c r="G21" s="39">
        <f t="shared" si="0"/>
        <v>82.527999999999992</v>
      </c>
      <c r="H21" s="40">
        <v>44207</v>
      </c>
      <c r="I21" s="40">
        <v>44203</v>
      </c>
      <c r="J21" s="233">
        <f t="shared" si="1"/>
        <v>4</v>
      </c>
      <c r="K21" s="394">
        <v>9.6299999999999997E-2</v>
      </c>
      <c r="L21" s="238">
        <f t="shared" si="2"/>
        <v>19.868615999999992</v>
      </c>
    </row>
    <row r="22" spans="1:12" ht="16.5" customHeight="1" x14ac:dyDescent="0.25">
      <c r="A22" s="18">
        <v>5014</v>
      </c>
      <c r="B22" s="35">
        <v>0.8</v>
      </c>
      <c r="C22" s="36" t="s">
        <v>19</v>
      </c>
      <c r="D22" s="37">
        <v>3975.96</v>
      </c>
      <c r="E22" s="38">
        <f t="shared" si="3"/>
        <v>3180.77</v>
      </c>
      <c r="F22" s="39">
        <f t="shared" si="4"/>
        <v>795.19</v>
      </c>
      <c r="G22" s="39">
        <f t="shared" si="0"/>
        <v>318.07679999999999</v>
      </c>
      <c r="H22" s="40">
        <v>44204</v>
      </c>
      <c r="I22" s="40">
        <v>44203</v>
      </c>
      <c r="J22" s="233">
        <f t="shared" si="1"/>
        <v>1</v>
      </c>
      <c r="K22" s="394">
        <v>9.6299999999999997E-2</v>
      </c>
      <c r="L22" s="238">
        <f t="shared" si="2"/>
        <v>76.576796999999999</v>
      </c>
    </row>
    <row r="23" spans="1:12" ht="16.5" customHeight="1" x14ac:dyDescent="0.25">
      <c r="A23" s="18">
        <v>4637</v>
      </c>
      <c r="B23" s="35">
        <v>0.8</v>
      </c>
      <c r="C23" s="36" t="s">
        <v>20</v>
      </c>
      <c r="D23" s="37">
        <v>1542.7</v>
      </c>
      <c r="E23" s="38">
        <f>ROUND(D23*B23,2)</f>
        <v>1234.1600000000001</v>
      </c>
      <c r="F23" s="39">
        <f>D23-E23</f>
        <v>308.53999999999996</v>
      </c>
      <c r="G23" s="39">
        <f t="shared" si="0"/>
        <v>123.41600000000001</v>
      </c>
      <c r="H23" s="43">
        <v>44209</v>
      </c>
      <c r="I23" s="40">
        <v>44203</v>
      </c>
      <c r="J23" s="233">
        <f t="shared" si="1"/>
        <v>6</v>
      </c>
      <c r="K23" s="394">
        <v>9.6299999999999997E-2</v>
      </c>
      <c r="L23" s="238">
        <f t="shared" si="2"/>
        <v>29.712401999999994</v>
      </c>
    </row>
    <row r="24" spans="1:12" ht="16.5" customHeight="1" x14ac:dyDescent="0.25">
      <c r="A24" s="18">
        <v>4749</v>
      </c>
      <c r="B24" s="35">
        <v>0.8</v>
      </c>
      <c r="C24" s="36" t="s">
        <v>21</v>
      </c>
      <c r="D24" s="37">
        <v>606.66999999999996</v>
      </c>
      <c r="E24" s="38">
        <f t="shared" si="3"/>
        <v>485.34</v>
      </c>
      <c r="F24" s="39">
        <f t="shared" si="4"/>
        <v>121.32999999999998</v>
      </c>
      <c r="G24" s="39">
        <f t="shared" si="0"/>
        <v>48.5336</v>
      </c>
      <c r="H24" s="43">
        <v>44204</v>
      </c>
      <c r="I24" s="40">
        <v>44203</v>
      </c>
      <c r="J24" s="233">
        <f t="shared" si="1"/>
        <v>1</v>
      </c>
      <c r="K24" s="394">
        <v>9.6299999999999997E-2</v>
      </c>
      <c r="L24" s="238">
        <f t="shared" si="2"/>
        <v>11.684078999999999</v>
      </c>
    </row>
    <row r="25" spans="1:12" ht="16.5" customHeight="1" x14ac:dyDescent="0.25">
      <c r="A25" s="18">
        <v>4997</v>
      </c>
      <c r="B25" s="35">
        <v>0.8</v>
      </c>
      <c r="C25" s="36" t="s">
        <v>22</v>
      </c>
      <c r="D25" s="37">
        <v>3575.92</v>
      </c>
      <c r="E25" s="38">
        <f t="shared" si="3"/>
        <v>2860.74</v>
      </c>
      <c r="F25" s="39">
        <f t="shared" si="4"/>
        <v>715.18000000000029</v>
      </c>
      <c r="G25" s="39">
        <f t="shared" si="0"/>
        <v>286.0736</v>
      </c>
      <c r="H25" s="43">
        <v>44204</v>
      </c>
      <c r="I25" s="40">
        <v>44203</v>
      </c>
      <c r="J25" s="233">
        <f t="shared" si="1"/>
        <v>1</v>
      </c>
      <c r="K25" s="394">
        <v>9.6299999999999997E-2</v>
      </c>
      <c r="L25" s="238">
        <f t="shared" si="2"/>
        <v>68.871834000000021</v>
      </c>
    </row>
    <row r="26" spans="1:12" ht="16.5" customHeight="1" x14ac:dyDescent="0.25">
      <c r="A26" s="18">
        <v>4909</v>
      </c>
      <c r="B26" s="35">
        <v>0.8</v>
      </c>
      <c r="C26" s="36" t="s">
        <v>23</v>
      </c>
      <c r="D26" s="42">
        <v>2077.06</v>
      </c>
      <c r="E26" s="38">
        <f t="shared" si="3"/>
        <v>1661.65</v>
      </c>
      <c r="F26" s="39">
        <f t="shared" si="4"/>
        <v>415.40999999999985</v>
      </c>
      <c r="G26" s="39">
        <f t="shared" si="0"/>
        <v>166.16479999999999</v>
      </c>
      <c r="H26" s="43">
        <v>44204</v>
      </c>
      <c r="I26" s="40">
        <v>44203</v>
      </c>
      <c r="J26" s="233">
        <f t="shared" si="1"/>
        <v>1</v>
      </c>
      <c r="K26" s="394">
        <v>9.6299999999999997E-2</v>
      </c>
      <c r="L26" s="238">
        <f t="shared" si="2"/>
        <v>40.003982999999984</v>
      </c>
    </row>
    <row r="27" spans="1:12" ht="16.5" customHeight="1" x14ac:dyDescent="0.25">
      <c r="A27" s="18">
        <v>4881</v>
      </c>
      <c r="B27" s="35">
        <v>0.8</v>
      </c>
      <c r="C27" s="41" t="s">
        <v>24</v>
      </c>
      <c r="D27" s="42">
        <v>742.12</v>
      </c>
      <c r="E27" s="38">
        <f t="shared" si="3"/>
        <v>593.70000000000005</v>
      </c>
      <c r="F27" s="39">
        <f t="shared" si="4"/>
        <v>148.41999999999996</v>
      </c>
      <c r="G27" s="39">
        <f t="shared" si="0"/>
        <v>59.369599999999998</v>
      </c>
      <c r="H27" s="43">
        <v>44208</v>
      </c>
      <c r="I27" s="40">
        <v>44203</v>
      </c>
      <c r="J27" s="233">
        <f t="shared" si="1"/>
        <v>5</v>
      </c>
      <c r="K27" s="394">
        <v>9.6299999999999997E-2</v>
      </c>
      <c r="L27" s="238">
        <f t="shared" si="2"/>
        <v>14.292845999999995</v>
      </c>
    </row>
    <row r="28" spans="1:12" ht="16.5" customHeight="1" x14ac:dyDescent="0.25">
      <c r="A28" s="18">
        <v>4968</v>
      </c>
      <c r="B28" s="35">
        <v>0.8</v>
      </c>
      <c r="C28" s="36" t="s">
        <v>25</v>
      </c>
      <c r="D28" s="42">
        <v>5987.42</v>
      </c>
      <c r="E28" s="38">
        <f t="shared" si="3"/>
        <v>4789.9399999999996</v>
      </c>
      <c r="F28" s="39">
        <f t="shared" si="4"/>
        <v>1197.4800000000005</v>
      </c>
      <c r="G28" s="39">
        <f t="shared" si="0"/>
        <v>478.99360000000001</v>
      </c>
      <c r="H28" s="43">
        <v>44204</v>
      </c>
      <c r="I28" s="40">
        <v>44203</v>
      </c>
      <c r="J28" s="233">
        <f t="shared" si="1"/>
        <v>1</v>
      </c>
      <c r="K28" s="394">
        <v>9.6299999999999997E-2</v>
      </c>
      <c r="L28" s="238">
        <f t="shared" si="2"/>
        <v>115.31732400000004</v>
      </c>
    </row>
    <row r="29" spans="1:12" ht="16.5" customHeight="1" x14ac:dyDescent="0.25">
      <c r="A29" s="18">
        <v>5015</v>
      </c>
      <c r="B29" s="35">
        <v>0.8</v>
      </c>
      <c r="C29" s="36" t="s">
        <v>26</v>
      </c>
      <c r="D29" s="42">
        <v>4857.17</v>
      </c>
      <c r="E29" s="38">
        <f t="shared" si="3"/>
        <v>3885.74</v>
      </c>
      <c r="F29" s="39">
        <f t="shared" si="4"/>
        <v>971.43000000000029</v>
      </c>
      <c r="G29" s="39">
        <f t="shared" si="0"/>
        <v>388.5736</v>
      </c>
      <c r="H29" s="43">
        <v>44207</v>
      </c>
      <c r="I29" s="40">
        <v>44203</v>
      </c>
      <c r="J29" s="233">
        <f t="shared" si="1"/>
        <v>4</v>
      </c>
      <c r="K29" s="394">
        <v>9.6299999999999997E-2</v>
      </c>
      <c r="L29" s="238">
        <f t="shared" si="2"/>
        <v>93.548709000000031</v>
      </c>
    </row>
    <row r="30" spans="1:12" ht="16.5" customHeight="1" x14ac:dyDescent="0.25">
      <c r="A30" s="18">
        <v>4801</v>
      </c>
      <c r="B30" s="35">
        <v>0.8</v>
      </c>
      <c r="C30" s="36" t="s">
        <v>27</v>
      </c>
      <c r="D30" s="42">
        <v>4201.6899999999996</v>
      </c>
      <c r="E30" s="38">
        <f t="shared" si="3"/>
        <v>3361.35</v>
      </c>
      <c r="F30" s="39">
        <f t="shared" si="4"/>
        <v>840.33999999999969</v>
      </c>
      <c r="G30" s="39">
        <f t="shared" si="0"/>
        <v>336.1352</v>
      </c>
      <c r="H30" s="43">
        <v>44208</v>
      </c>
      <c r="I30" s="40">
        <v>44203</v>
      </c>
      <c r="J30" s="233">
        <f t="shared" si="1"/>
        <v>5</v>
      </c>
      <c r="K30" s="394">
        <v>9.6299999999999997E-2</v>
      </c>
      <c r="L30" s="238">
        <f t="shared" si="2"/>
        <v>80.924741999999966</v>
      </c>
    </row>
    <row r="31" spans="1:12" ht="16.5" customHeight="1" x14ac:dyDescent="0.25">
      <c r="A31" s="18">
        <v>5006</v>
      </c>
      <c r="B31" s="35">
        <v>0.8</v>
      </c>
      <c r="C31" s="36" t="s">
        <v>28</v>
      </c>
      <c r="D31" s="42">
        <v>1394.04</v>
      </c>
      <c r="E31" s="38">
        <f t="shared" si="3"/>
        <v>1115.23</v>
      </c>
      <c r="F31" s="39">
        <f t="shared" si="4"/>
        <v>278.80999999999995</v>
      </c>
      <c r="G31" s="39">
        <f t="shared" si="0"/>
        <v>111.5232</v>
      </c>
      <c r="H31" s="43">
        <v>44204</v>
      </c>
      <c r="I31" s="40">
        <v>44203</v>
      </c>
      <c r="J31" s="233">
        <f t="shared" si="1"/>
        <v>1</v>
      </c>
      <c r="K31" s="394">
        <v>9.6299999999999997E-2</v>
      </c>
      <c r="L31" s="238">
        <f t="shared" si="2"/>
        <v>26.849402999999995</v>
      </c>
    </row>
    <row r="32" spans="1:12" ht="16.5" customHeight="1" x14ac:dyDescent="0.25">
      <c r="A32" s="18">
        <v>4977</v>
      </c>
      <c r="B32" s="35">
        <v>0.8</v>
      </c>
      <c r="C32" s="36" t="s">
        <v>29</v>
      </c>
      <c r="D32" s="42">
        <v>1118.3599999999999</v>
      </c>
      <c r="E32" s="38">
        <f t="shared" si="3"/>
        <v>894.69</v>
      </c>
      <c r="F32" s="39">
        <f t="shared" si="4"/>
        <v>223.66999999999985</v>
      </c>
      <c r="G32" s="39">
        <f t="shared" si="0"/>
        <v>89.468799999999987</v>
      </c>
      <c r="H32" s="43">
        <v>44208</v>
      </c>
      <c r="I32" s="40">
        <v>44203</v>
      </c>
      <c r="J32" s="233">
        <f t="shared" si="1"/>
        <v>5</v>
      </c>
      <c r="K32" s="394">
        <v>9.6299999999999997E-2</v>
      </c>
      <c r="L32" s="238">
        <f t="shared" si="2"/>
        <v>21.539420999999983</v>
      </c>
    </row>
    <row r="33" spans="1:12" ht="16.5" customHeight="1" x14ac:dyDescent="0.25">
      <c r="A33" s="18">
        <v>4761</v>
      </c>
      <c r="B33" s="35">
        <v>0.8</v>
      </c>
      <c r="C33" s="36" t="s">
        <v>30</v>
      </c>
      <c r="D33" s="37">
        <v>4598.8100000000004</v>
      </c>
      <c r="E33" s="38">
        <f t="shared" si="3"/>
        <v>3679.05</v>
      </c>
      <c r="F33" s="39">
        <f t="shared" si="4"/>
        <v>919.76000000000022</v>
      </c>
      <c r="G33" s="39">
        <f t="shared" si="0"/>
        <v>367.90480000000002</v>
      </c>
      <c r="H33" s="43">
        <v>44203</v>
      </c>
      <c r="I33" s="40">
        <v>44203</v>
      </c>
      <c r="J33" s="233">
        <f t="shared" si="1"/>
        <v>0</v>
      </c>
      <c r="K33" s="394">
        <v>9.6299999999999997E-2</v>
      </c>
      <c r="L33" s="238">
        <f t="shared" si="2"/>
        <v>88.57288800000002</v>
      </c>
    </row>
    <row r="34" spans="1:12" ht="16.5" customHeight="1" x14ac:dyDescent="0.25">
      <c r="A34" s="18">
        <v>4789</v>
      </c>
      <c r="B34" s="35">
        <v>0.8</v>
      </c>
      <c r="C34" s="36" t="s">
        <v>31</v>
      </c>
      <c r="D34" s="42">
        <v>2731.55</v>
      </c>
      <c r="E34" s="38">
        <f t="shared" si="3"/>
        <v>2185.2399999999998</v>
      </c>
      <c r="F34" s="39">
        <f t="shared" si="4"/>
        <v>546.3100000000004</v>
      </c>
      <c r="G34" s="39">
        <f t="shared" si="0"/>
        <v>218.52400000000003</v>
      </c>
      <c r="H34" s="43">
        <v>44204</v>
      </c>
      <c r="I34" s="40">
        <v>44203</v>
      </c>
      <c r="J34" s="233">
        <f t="shared" si="1"/>
        <v>1</v>
      </c>
      <c r="K34" s="394">
        <v>9.6299999999999997E-2</v>
      </c>
      <c r="L34" s="238">
        <f t="shared" si="2"/>
        <v>52.609653000000037</v>
      </c>
    </row>
    <row r="35" spans="1:12" ht="16.5" customHeight="1" x14ac:dyDescent="0.25">
      <c r="A35" s="18">
        <v>4969</v>
      </c>
      <c r="B35" s="35">
        <v>0.8</v>
      </c>
      <c r="C35" s="36" t="s">
        <v>32</v>
      </c>
      <c r="D35" s="42">
        <v>2329.42</v>
      </c>
      <c r="E35" s="38">
        <f t="shared" si="3"/>
        <v>1863.54</v>
      </c>
      <c r="F35" s="39">
        <f t="shared" si="4"/>
        <v>465.88000000000011</v>
      </c>
      <c r="G35" s="39">
        <f t="shared" si="0"/>
        <v>186.3536</v>
      </c>
      <c r="H35" s="43">
        <v>44204</v>
      </c>
      <c r="I35" s="40">
        <v>44203</v>
      </c>
      <c r="J35" s="233">
        <f t="shared" si="1"/>
        <v>1</v>
      </c>
      <c r="K35" s="394">
        <v>9.6299999999999997E-2</v>
      </c>
      <c r="L35" s="238">
        <f t="shared" si="2"/>
        <v>44.864244000000006</v>
      </c>
    </row>
    <row r="36" spans="1:12" ht="16.5" customHeight="1" x14ac:dyDescent="0.25">
      <c r="A36" s="21"/>
      <c r="B36" s="50"/>
      <c r="C36" s="46" t="s">
        <v>160</v>
      </c>
      <c r="D36" s="46">
        <f>SUM(D21:D35)</f>
        <v>40770.49</v>
      </c>
      <c r="E36" s="48">
        <f>SUBTOTAL(9,E21:E35)</f>
        <v>32616.42</v>
      </c>
      <c r="F36" s="46">
        <f>SUM(F21:F35)</f>
        <v>8154.0700000000015</v>
      </c>
      <c r="G36" s="46">
        <f t="shared" si="0"/>
        <v>3261.6392000000001</v>
      </c>
      <c r="H36" s="51"/>
      <c r="I36" s="47"/>
      <c r="J36" s="234"/>
      <c r="K36" s="395"/>
      <c r="L36" s="360">
        <f>SUM(L21:L35)</f>
        <v>785.236941</v>
      </c>
    </row>
    <row r="37" spans="1:12" ht="16.5" customHeight="1" x14ac:dyDescent="0.25">
      <c r="A37" s="22">
        <v>4937</v>
      </c>
      <c r="B37" s="35">
        <v>1</v>
      </c>
      <c r="C37" s="36" t="s">
        <v>33</v>
      </c>
      <c r="D37" s="37">
        <v>2106.02</v>
      </c>
      <c r="E37" s="38">
        <f>ROUND(D37*B37,2)</f>
        <v>2106.02</v>
      </c>
      <c r="F37" s="39">
        <f>D37-E37</f>
        <v>0</v>
      </c>
      <c r="G37" s="39">
        <f t="shared" si="0"/>
        <v>168.48160000000001</v>
      </c>
      <c r="H37" s="43">
        <v>44204</v>
      </c>
      <c r="I37" s="40">
        <v>44203</v>
      </c>
      <c r="J37" s="233">
        <f t="shared" si="1"/>
        <v>1</v>
      </c>
      <c r="K37" s="394">
        <v>9.6299999999999997E-2</v>
      </c>
      <c r="L37" s="238">
        <f>F37*K37</f>
        <v>0</v>
      </c>
    </row>
    <row r="38" spans="1:12" ht="16.5" customHeight="1" x14ac:dyDescent="0.25">
      <c r="A38" s="18">
        <v>5122</v>
      </c>
      <c r="B38" s="35">
        <v>1</v>
      </c>
      <c r="C38" s="36" t="s">
        <v>34</v>
      </c>
      <c r="D38" s="42">
        <v>2664.29</v>
      </c>
      <c r="E38" s="38">
        <f t="shared" si="3"/>
        <v>2664.29</v>
      </c>
      <c r="F38" s="39">
        <f t="shared" si="4"/>
        <v>0</v>
      </c>
      <c r="G38" s="39">
        <f t="shared" si="0"/>
        <v>213.14320000000001</v>
      </c>
      <c r="H38" s="43">
        <v>44203</v>
      </c>
      <c r="I38" s="40">
        <v>44203</v>
      </c>
      <c r="J38" s="233">
        <f t="shared" si="1"/>
        <v>0</v>
      </c>
      <c r="K38" s="394">
        <v>9.6299999999999997E-2</v>
      </c>
      <c r="L38" s="238">
        <f t="shared" ref="L38:L95" si="5">F38*K38</f>
        <v>0</v>
      </c>
    </row>
    <row r="39" spans="1:12" ht="16.5" customHeight="1" x14ac:dyDescent="0.25">
      <c r="A39" s="18">
        <v>4907</v>
      </c>
      <c r="B39" s="35">
        <v>1</v>
      </c>
      <c r="C39" s="36" t="s">
        <v>35</v>
      </c>
      <c r="D39" s="42">
        <v>48.62</v>
      </c>
      <c r="E39" s="38">
        <f t="shared" si="3"/>
        <v>48.62</v>
      </c>
      <c r="F39" s="39">
        <f t="shared" si="4"/>
        <v>0</v>
      </c>
      <c r="G39" s="39">
        <f t="shared" si="0"/>
        <v>3.8895999999999997</v>
      </c>
      <c r="H39" s="43">
        <v>44203</v>
      </c>
      <c r="I39" s="40">
        <v>44203</v>
      </c>
      <c r="J39" s="233">
        <f t="shared" si="1"/>
        <v>0</v>
      </c>
      <c r="K39" s="394">
        <v>9.6299999999999997E-2</v>
      </c>
      <c r="L39" s="238">
        <f t="shared" si="5"/>
        <v>0</v>
      </c>
    </row>
    <row r="40" spans="1:12" ht="16.5" customHeight="1" x14ac:dyDescent="0.25">
      <c r="A40" s="18">
        <v>2900</v>
      </c>
      <c r="B40" s="35">
        <v>1</v>
      </c>
      <c r="C40" s="36" t="s">
        <v>36</v>
      </c>
      <c r="D40" s="42">
        <v>173.41</v>
      </c>
      <c r="E40" s="38">
        <f>ROUND(D40*B40,2)-164.59</f>
        <v>8.8199999999999932</v>
      </c>
      <c r="F40" s="39">
        <f t="shared" si="4"/>
        <v>164.59</v>
      </c>
      <c r="G40" s="39">
        <f t="shared" si="0"/>
        <v>13.8728</v>
      </c>
      <c r="H40" s="43">
        <v>44203</v>
      </c>
      <c r="I40" s="40">
        <v>44203</v>
      </c>
      <c r="J40" s="233">
        <f t="shared" si="1"/>
        <v>0</v>
      </c>
      <c r="K40" s="394">
        <v>9.6299999999999997E-2</v>
      </c>
      <c r="L40" s="238">
        <f t="shared" si="5"/>
        <v>15.850016999999999</v>
      </c>
    </row>
    <row r="41" spans="1:12" ht="16.5" customHeight="1" x14ac:dyDescent="0.25">
      <c r="A41" s="18">
        <v>5079</v>
      </c>
      <c r="B41" s="35">
        <v>1</v>
      </c>
      <c r="C41" s="36" t="s">
        <v>37</v>
      </c>
      <c r="D41" s="42">
        <v>1532.19</v>
      </c>
      <c r="E41" s="38">
        <f t="shared" si="3"/>
        <v>1532.19</v>
      </c>
      <c r="F41" s="39">
        <f t="shared" si="4"/>
        <v>0</v>
      </c>
      <c r="G41" s="39">
        <f t="shared" si="0"/>
        <v>122.57520000000001</v>
      </c>
      <c r="H41" s="43">
        <v>44203</v>
      </c>
      <c r="I41" s="40">
        <v>44203</v>
      </c>
      <c r="J41" s="233">
        <f t="shared" si="1"/>
        <v>0</v>
      </c>
      <c r="K41" s="394">
        <v>9.6299999999999997E-2</v>
      </c>
      <c r="L41" s="238">
        <f t="shared" si="5"/>
        <v>0</v>
      </c>
    </row>
    <row r="42" spans="1:12" ht="16.5" customHeight="1" x14ac:dyDescent="0.25">
      <c r="A42" s="18">
        <v>5073</v>
      </c>
      <c r="B42" s="35">
        <v>1</v>
      </c>
      <c r="C42" s="36" t="s">
        <v>38</v>
      </c>
      <c r="D42" s="42">
        <v>3089.12</v>
      </c>
      <c r="E42" s="38">
        <f t="shared" si="3"/>
        <v>3089.12</v>
      </c>
      <c r="F42" s="39">
        <f t="shared" si="4"/>
        <v>0</v>
      </c>
      <c r="G42" s="39">
        <f t="shared" si="0"/>
        <v>247.12960000000001</v>
      </c>
      <c r="H42" s="43">
        <v>44204</v>
      </c>
      <c r="I42" s="40">
        <v>44203</v>
      </c>
      <c r="J42" s="233">
        <f t="shared" si="1"/>
        <v>1</v>
      </c>
      <c r="K42" s="394">
        <v>9.6299999999999997E-2</v>
      </c>
      <c r="L42" s="238">
        <f t="shared" si="5"/>
        <v>0</v>
      </c>
    </row>
    <row r="43" spans="1:12" ht="16.5" customHeight="1" x14ac:dyDescent="0.25">
      <c r="A43" s="18">
        <v>2961</v>
      </c>
      <c r="B43" s="35">
        <v>1</v>
      </c>
      <c r="C43" s="36" t="s">
        <v>39</v>
      </c>
      <c r="D43" s="37">
        <v>6.01</v>
      </c>
      <c r="E43" s="38">
        <f t="shared" si="3"/>
        <v>6.01</v>
      </c>
      <c r="F43" s="39">
        <f t="shared" si="4"/>
        <v>0</v>
      </c>
      <c r="G43" s="39">
        <f t="shared" si="0"/>
        <v>0.48080000000000001</v>
      </c>
      <c r="H43" s="43">
        <v>44203</v>
      </c>
      <c r="I43" s="40">
        <v>44203</v>
      </c>
      <c r="J43" s="233">
        <f t="shared" si="1"/>
        <v>0</v>
      </c>
      <c r="K43" s="394">
        <v>9.6299999999999997E-2</v>
      </c>
      <c r="L43" s="238">
        <f t="shared" si="5"/>
        <v>0</v>
      </c>
    </row>
    <row r="44" spans="1:12" ht="16.5" customHeight="1" x14ac:dyDescent="0.25">
      <c r="A44" s="18">
        <v>108</v>
      </c>
      <c r="B44" s="35">
        <v>1</v>
      </c>
      <c r="C44" s="36" t="s">
        <v>40</v>
      </c>
      <c r="D44" s="42">
        <v>9.76</v>
      </c>
      <c r="E44" s="38">
        <f t="shared" si="3"/>
        <v>9.76</v>
      </c>
      <c r="F44" s="39">
        <f t="shared" si="4"/>
        <v>0</v>
      </c>
      <c r="G44" s="39">
        <f t="shared" si="0"/>
        <v>0.78080000000000005</v>
      </c>
      <c r="H44" s="43">
        <v>44203</v>
      </c>
      <c r="I44" s="40">
        <v>44203</v>
      </c>
      <c r="J44" s="233">
        <f t="shared" si="1"/>
        <v>0</v>
      </c>
      <c r="K44" s="394">
        <v>9.6299999999999997E-2</v>
      </c>
      <c r="L44" s="238">
        <f t="shared" si="5"/>
        <v>0</v>
      </c>
    </row>
    <row r="45" spans="1:12" ht="16.5" customHeight="1" x14ac:dyDescent="0.25">
      <c r="A45" s="18">
        <v>5048</v>
      </c>
      <c r="B45" s="35">
        <v>1</v>
      </c>
      <c r="C45" s="36" t="s">
        <v>41</v>
      </c>
      <c r="D45" s="42">
        <v>1078.82</v>
      </c>
      <c r="E45" s="38">
        <f t="shared" si="3"/>
        <v>1078.82</v>
      </c>
      <c r="F45" s="39">
        <f t="shared" si="4"/>
        <v>0</v>
      </c>
      <c r="G45" s="39">
        <f t="shared" si="0"/>
        <v>86.305599999999998</v>
      </c>
      <c r="H45" s="43">
        <v>44203</v>
      </c>
      <c r="I45" s="40">
        <v>44203</v>
      </c>
      <c r="J45" s="233">
        <f t="shared" si="1"/>
        <v>0</v>
      </c>
      <c r="K45" s="394">
        <v>9.6299999999999997E-2</v>
      </c>
      <c r="L45" s="238">
        <f t="shared" si="5"/>
        <v>0</v>
      </c>
    </row>
    <row r="46" spans="1:12" ht="16.5" customHeight="1" x14ac:dyDescent="0.25">
      <c r="A46" s="18">
        <v>5045</v>
      </c>
      <c r="B46" s="35">
        <v>1</v>
      </c>
      <c r="C46" s="36" t="s">
        <v>42</v>
      </c>
      <c r="D46" s="42">
        <v>1532.15</v>
      </c>
      <c r="E46" s="38">
        <f t="shared" si="3"/>
        <v>1532.15</v>
      </c>
      <c r="F46" s="39">
        <f t="shared" si="4"/>
        <v>0</v>
      </c>
      <c r="G46" s="39">
        <f t="shared" si="0"/>
        <v>122.572</v>
      </c>
      <c r="H46" s="43">
        <v>44204</v>
      </c>
      <c r="I46" s="40">
        <v>44203</v>
      </c>
      <c r="J46" s="233">
        <f t="shared" si="1"/>
        <v>1</v>
      </c>
      <c r="K46" s="394">
        <v>9.6299999999999997E-2</v>
      </c>
      <c r="L46" s="238">
        <f t="shared" si="5"/>
        <v>0</v>
      </c>
    </row>
    <row r="47" spans="1:12" ht="16.5" customHeight="1" x14ac:dyDescent="0.25">
      <c r="A47" s="18">
        <v>2526</v>
      </c>
      <c r="B47" s="35">
        <v>1</v>
      </c>
      <c r="C47" s="36" t="s">
        <v>43</v>
      </c>
      <c r="D47" s="42">
        <v>97.24</v>
      </c>
      <c r="E47" s="38">
        <f t="shared" si="3"/>
        <v>97.24</v>
      </c>
      <c r="F47" s="39">
        <f t="shared" si="4"/>
        <v>0</v>
      </c>
      <c r="G47" s="39">
        <f t="shared" si="0"/>
        <v>7.7791999999999994</v>
      </c>
      <c r="H47" s="43">
        <v>44203</v>
      </c>
      <c r="I47" s="40">
        <v>44203</v>
      </c>
      <c r="J47" s="233">
        <f t="shared" si="1"/>
        <v>0</v>
      </c>
      <c r="K47" s="394">
        <v>9.6299999999999997E-2</v>
      </c>
      <c r="L47" s="238">
        <f t="shared" si="5"/>
        <v>0</v>
      </c>
    </row>
    <row r="48" spans="1:12" ht="16.5" customHeight="1" x14ac:dyDescent="0.25">
      <c r="A48" s="18">
        <v>4605</v>
      </c>
      <c r="B48" s="35">
        <v>1</v>
      </c>
      <c r="C48" s="36" t="s">
        <v>44</v>
      </c>
      <c r="D48" s="42">
        <v>5.63</v>
      </c>
      <c r="E48" s="38">
        <f>ROUND(D48*B48,2)</f>
        <v>5.63</v>
      </c>
      <c r="F48" s="39">
        <f>D48-E48</f>
        <v>0</v>
      </c>
      <c r="G48" s="39">
        <f t="shared" si="0"/>
        <v>0.45040000000000002</v>
      </c>
      <c r="H48" s="43">
        <v>44203</v>
      </c>
      <c r="I48" s="40">
        <v>44203</v>
      </c>
      <c r="J48" s="233">
        <f t="shared" si="1"/>
        <v>0</v>
      </c>
      <c r="K48" s="394">
        <v>9.6299999999999997E-2</v>
      </c>
      <c r="L48" s="238">
        <f t="shared" si="5"/>
        <v>0</v>
      </c>
    </row>
    <row r="49" spans="1:12" ht="16.5" customHeight="1" x14ac:dyDescent="0.25">
      <c r="A49" s="18">
        <v>4130</v>
      </c>
      <c r="B49" s="35">
        <v>1</v>
      </c>
      <c r="C49" s="36" t="s">
        <v>46</v>
      </c>
      <c r="D49" s="42">
        <v>5.28</v>
      </c>
      <c r="E49" s="38">
        <f t="shared" si="3"/>
        <v>5.28</v>
      </c>
      <c r="F49" s="39">
        <f t="shared" si="4"/>
        <v>0</v>
      </c>
      <c r="G49" s="39">
        <f t="shared" si="0"/>
        <v>0.42240000000000005</v>
      </c>
      <c r="H49" s="43">
        <v>44203</v>
      </c>
      <c r="I49" s="40">
        <v>44203</v>
      </c>
      <c r="J49" s="233">
        <f t="shared" si="1"/>
        <v>0</v>
      </c>
      <c r="K49" s="394">
        <v>9.6299999999999997E-2</v>
      </c>
      <c r="L49" s="238">
        <f t="shared" si="5"/>
        <v>0</v>
      </c>
    </row>
    <row r="50" spans="1:12" ht="16.5" customHeight="1" x14ac:dyDescent="0.25">
      <c r="A50" s="18">
        <v>4666</v>
      </c>
      <c r="B50" s="35">
        <v>1</v>
      </c>
      <c r="C50" s="36" t="s">
        <v>47</v>
      </c>
      <c r="D50" s="42">
        <v>6.63</v>
      </c>
      <c r="E50" s="38">
        <f t="shared" si="3"/>
        <v>6.63</v>
      </c>
      <c r="F50" s="39">
        <f t="shared" si="4"/>
        <v>0</v>
      </c>
      <c r="G50" s="39">
        <f t="shared" si="0"/>
        <v>0.53039999999999998</v>
      </c>
      <c r="H50" s="40">
        <v>44203</v>
      </c>
      <c r="I50" s="40">
        <v>44203</v>
      </c>
      <c r="J50" s="233">
        <f t="shared" si="1"/>
        <v>0</v>
      </c>
      <c r="K50" s="394">
        <v>9.6299999999999997E-2</v>
      </c>
      <c r="L50" s="238">
        <f t="shared" si="5"/>
        <v>0</v>
      </c>
    </row>
    <row r="51" spans="1:12" ht="16.5" customHeight="1" x14ac:dyDescent="0.25">
      <c r="A51" s="18">
        <v>2920</v>
      </c>
      <c r="B51" s="35">
        <v>1</v>
      </c>
      <c r="C51" s="36" t="s">
        <v>48</v>
      </c>
      <c r="D51" s="42">
        <v>5.28</v>
      </c>
      <c r="E51" s="38">
        <f t="shared" si="3"/>
        <v>5.28</v>
      </c>
      <c r="F51" s="39">
        <f t="shared" si="4"/>
        <v>0</v>
      </c>
      <c r="G51" s="39">
        <f t="shared" si="0"/>
        <v>0.42240000000000005</v>
      </c>
      <c r="H51" s="43">
        <v>44203</v>
      </c>
      <c r="I51" s="40">
        <v>44203</v>
      </c>
      <c r="J51" s="233">
        <f t="shared" si="1"/>
        <v>0</v>
      </c>
      <c r="K51" s="394">
        <v>9.6299999999999997E-2</v>
      </c>
      <c r="L51" s="238">
        <f t="shared" si="5"/>
        <v>0</v>
      </c>
    </row>
    <row r="52" spans="1:12" ht="16.5" customHeight="1" x14ac:dyDescent="0.25">
      <c r="A52" s="18">
        <v>5124</v>
      </c>
      <c r="B52" s="35">
        <v>1</v>
      </c>
      <c r="C52" s="36" t="s">
        <v>49</v>
      </c>
      <c r="D52" s="42">
        <v>770.76</v>
      </c>
      <c r="E52" s="38">
        <f t="shared" si="3"/>
        <v>770.76</v>
      </c>
      <c r="F52" s="39">
        <f t="shared" si="4"/>
        <v>0</v>
      </c>
      <c r="G52" s="39">
        <f t="shared" si="0"/>
        <v>61.660800000000002</v>
      </c>
      <c r="H52" s="43">
        <v>44203</v>
      </c>
      <c r="I52" s="40">
        <v>44203</v>
      </c>
      <c r="J52" s="233">
        <f t="shared" si="1"/>
        <v>0</v>
      </c>
      <c r="K52" s="394">
        <v>9.6299999999999997E-2</v>
      </c>
      <c r="L52" s="238">
        <f t="shared" si="5"/>
        <v>0</v>
      </c>
    </row>
    <row r="53" spans="1:12" ht="16.5" customHeight="1" x14ac:dyDescent="0.25">
      <c r="A53" s="18">
        <v>5127</v>
      </c>
      <c r="B53" s="35">
        <v>1</v>
      </c>
      <c r="C53" s="36" t="s">
        <v>50</v>
      </c>
      <c r="D53" s="42">
        <v>1564.09</v>
      </c>
      <c r="E53" s="38">
        <f t="shared" si="3"/>
        <v>1564.09</v>
      </c>
      <c r="F53" s="39">
        <f t="shared" si="4"/>
        <v>0</v>
      </c>
      <c r="G53" s="39">
        <f t="shared" si="0"/>
        <v>125.1272</v>
      </c>
      <c r="H53" s="43">
        <v>44203</v>
      </c>
      <c r="I53" s="40">
        <v>44203</v>
      </c>
      <c r="J53" s="233">
        <f t="shared" si="1"/>
        <v>0</v>
      </c>
      <c r="K53" s="394">
        <v>9.6299999999999997E-2</v>
      </c>
      <c r="L53" s="238">
        <f t="shared" si="5"/>
        <v>0</v>
      </c>
    </row>
    <row r="54" spans="1:12" ht="16.5" customHeight="1" x14ac:dyDescent="0.25">
      <c r="A54" s="18">
        <v>4996</v>
      </c>
      <c r="B54" s="35">
        <v>1</v>
      </c>
      <c r="C54" s="36" t="s">
        <v>51</v>
      </c>
      <c r="D54" s="42">
        <v>53.1</v>
      </c>
      <c r="E54" s="38">
        <f>ROUND(D54*B54,2)</f>
        <v>53.1</v>
      </c>
      <c r="F54" s="39">
        <f>D54-E54</f>
        <v>0</v>
      </c>
      <c r="G54" s="39">
        <f t="shared" si="0"/>
        <v>4.2480000000000002</v>
      </c>
      <c r="H54" s="43">
        <v>44203</v>
      </c>
      <c r="I54" s="40">
        <v>44203</v>
      </c>
      <c r="J54" s="233">
        <f t="shared" si="1"/>
        <v>0</v>
      </c>
      <c r="K54" s="394">
        <v>9.6299999999999997E-2</v>
      </c>
      <c r="L54" s="238">
        <f t="shared" si="5"/>
        <v>0</v>
      </c>
    </row>
    <row r="55" spans="1:12" ht="16.5" customHeight="1" x14ac:dyDescent="0.25">
      <c r="A55" s="18">
        <v>4693</v>
      </c>
      <c r="B55" s="35">
        <v>1</v>
      </c>
      <c r="C55" s="36" t="s">
        <v>52</v>
      </c>
      <c r="D55" s="42">
        <v>51.98</v>
      </c>
      <c r="E55" s="38">
        <f>ROUND(D55*B55,2)</f>
        <v>51.98</v>
      </c>
      <c r="F55" s="39">
        <f>D55-E55</f>
        <v>0</v>
      </c>
      <c r="G55" s="39">
        <f t="shared" si="0"/>
        <v>4.1583999999999994</v>
      </c>
      <c r="H55" s="43">
        <v>44203</v>
      </c>
      <c r="I55" s="40">
        <v>44203</v>
      </c>
      <c r="J55" s="233">
        <f t="shared" si="1"/>
        <v>0</v>
      </c>
      <c r="K55" s="394">
        <v>9.6299999999999997E-2</v>
      </c>
      <c r="L55" s="238">
        <f t="shared" si="5"/>
        <v>0</v>
      </c>
    </row>
    <row r="56" spans="1:12" ht="16.5" customHeight="1" x14ac:dyDescent="0.25">
      <c r="A56" s="18">
        <v>5047</v>
      </c>
      <c r="B56" s="35">
        <v>1</v>
      </c>
      <c r="C56" s="36" t="s">
        <v>53</v>
      </c>
      <c r="D56" s="42">
        <v>2409.11</v>
      </c>
      <c r="E56" s="38">
        <f t="shared" si="3"/>
        <v>2409.11</v>
      </c>
      <c r="F56" s="39">
        <f t="shared" si="4"/>
        <v>0</v>
      </c>
      <c r="G56" s="39">
        <f t="shared" si="0"/>
        <v>192.72880000000001</v>
      </c>
      <c r="H56" s="43">
        <v>44204</v>
      </c>
      <c r="I56" s="40">
        <v>44203</v>
      </c>
      <c r="J56" s="233">
        <f t="shared" si="1"/>
        <v>1</v>
      </c>
      <c r="K56" s="394">
        <v>9.6299999999999997E-2</v>
      </c>
      <c r="L56" s="238">
        <f t="shared" si="5"/>
        <v>0</v>
      </c>
    </row>
    <row r="57" spans="1:12" ht="16.5" customHeight="1" x14ac:dyDescent="0.25">
      <c r="A57" s="18">
        <v>230</v>
      </c>
      <c r="B57" s="35">
        <v>1</v>
      </c>
      <c r="C57" s="36" t="s">
        <v>54</v>
      </c>
      <c r="D57" s="42">
        <v>9.9600000000000009</v>
      </c>
      <c r="E57" s="38">
        <f t="shared" si="3"/>
        <v>9.9600000000000009</v>
      </c>
      <c r="F57" s="39">
        <f t="shared" si="4"/>
        <v>0</v>
      </c>
      <c r="G57" s="39">
        <f t="shared" si="0"/>
        <v>0.79680000000000006</v>
      </c>
      <c r="H57" s="43">
        <v>44203</v>
      </c>
      <c r="I57" s="40">
        <v>44203</v>
      </c>
      <c r="J57" s="233">
        <f t="shared" si="1"/>
        <v>0</v>
      </c>
      <c r="K57" s="394">
        <v>9.6299999999999997E-2</v>
      </c>
      <c r="L57" s="238">
        <f t="shared" si="5"/>
        <v>0</v>
      </c>
    </row>
    <row r="58" spans="1:12" ht="16.5" customHeight="1" x14ac:dyDescent="0.25">
      <c r="A58" s="18">
        <v>4959</v>
      </c>
      <c r="B58" s="35">
        <v>1</v>
      </c>
      <c r="C58" s="36" t="s">
        <v>55</v>
      </c>
      <c r="D58" s="42">
        <v>4.33</v>
      </c>
      <c r="E58" s="38">
        <f t="shared" si="3"/>
        <v>4.33</v>
      </c>
      <c r="F58" s="39">
        <f t="shared" si="4"/>
        <v>0</v>
      </c>
      <c r="G58" s="39">
        <f t="shared" si="0"/>
        <v>0.34639999999999999</v>
      </c>
      <c r="H58" s="43">
        <v>44203</v>
      </c>
      <c r="I58" s="40">
        <v>44203</v>
      </c>
      <c r="J58" s="233">
        <f t="shared" si="1"/>
        <v>0</v>
      </c>
      <c r="K58" s="394">
        <v>9.6299999999999997E-2</v>
      </c>
      <c r="L58" s="238">
        <f t="shared" si="5"/>
        <v>0</v>
      </c>
    </row>
    <row r="59" spans="1:12" ht="16.5" customHeight="1" x14ac:dyDescent="0.25">
      <c r="A59" s="18">
        <v>4808</v>
      </c>
      <c r="B59" s="35">
        <v>1</v>
      </c>
      <c r="C59" s="36" t="s">
        <v>56</v>
      </c>
      <c r="D59" s="37">
        <v>0.53</v>
      </c>
      <c r="E59" s="38">
        <f>ROUND(D59*B59,2)</f>
        <v>0.53</v>
      </c>
      <c r="F59" s="39">
        <f>D59-E59</f>
        <v>0</v>
      </c>
      <c r="G59" s="39">
        <f t="shared" si="0"/>
        <v>4.24E-2</v>
      </c>
      <c r="H59" s="43">
        <v>44203</v>
      </c>
      <c r="I59" s="40">
        <v>44203</v>
      </c>
      <c r="J59" s="233">
        <f t="shared" si="1"/>
        <v>0</v>
      </c>
      <c r="K59" s="394">
        <v>9.6299999999999997E-2</v>
      </c>
      <c r="L59" s="238">
        <f t="shared" si="5"/>
        <v>0</v>
      </c>
    </row>
    <row r="60" spans="1:12" ht="16.5" customHeight="1" x14ac:dyDescent="0.25">
      <c r="A60" s="18">
        <v>5019</v>
      </c>
      <c r="B60" s="35">
        <v>1</v>
      </c>
      <c r="C60" s="36" t="s">
        <v>57</v>
      </c>
      <c r="D60" s="42">
        <v>4.1500000000000004</v>
      </c>
      <c r="E60" s="38">
        <f t="shared" si="3"/>
        <v>4.1500000000000004</v>
      </c>
      <c r="F60" s="39">
        <f t="shared" si="4"/>
        <v>0</v>
      </c>
      <c r="G60" s="39">
        <f t="shared" si="0"/>
        <v>0.33200000000000002</v>
      </c>
      <c r="H60" s="43">
        <v>44203</v>
      </c>
      <c r="I60" s="40">
        <v>44203</v>
      </c>
      <c r="J60" s="233">
        <f t="shared" si="1"/>
        <v>0</v>
      </c>
      <c r="K60" s="394">
        <v>9.6299999999999997E-2</v>
      </c>
      <c r="L60" s="238">
        <f t="shared" si="5"/>
        <v>0</v>
      </c>
    </row>
    <row r="61" spans="1:12" ht="16.5" customHeight="1" x14ac:dyDescent="0.25">
      <c r="A61" s="18">
        <v>4150</v>
      </c>
      <c r="B61" s="35">
        <v>1</v>
      </c>
      <c r="C61" s="36" t="s">
        <v>58</v>
      </c>
      <c r="D61" s="42">
        <v>3.87</v>
      </c>
      <c r="E61" s="38">
        <f t="shared" si="3"/>
        <v>3.87</v>
      </c>
      <c r="F61" s="39">
        <f t="shared" si="4"/>
        <v>0</v>
      </c>
      <c r="G61" s="39">
        <f t="shared" si="0"/>
        <v>0.30960000000000004</v>
      </c>
      <c r="H61" s="43">
        <v>44203</v>
      </c>
      <c r="I61" s="40">
        <v>44203</v>
      </c>
      <c r="J61" s="233">
        <f t="shared" si="1"/>
        <v>0</v>
      </c>
      <c r="K61" s="394">
        <v>9.6299999999999997E-2</v>
      </c>
      <c r="L61" s="238">
        <f t="shared" si="5"/>
        <v>0</v>
      </c>
    </row>
    <row r="62" spans="1:12" s="23" customFormat="1" ht="16.5" customHeight="1" x14ac:dyDescent="0.25">
      <c r="A62" s="18">
        <v>4820</v>
      </c>
      <c r="B62" s="35">
        <v>1</v>
      </c>
      <c r="C62" s="36" t="s">
        <v>59</v>
      </c>
      <c r="D62" s="42">
        <v>4.68</v>
      </c>
      <c r="E62" s="38">
        <f>ROUND(D62*B62,2)</f>
        <v>4.68</v>
      </c>
      <c r="F62" s="39">
        <f>D62-E62</f>
        <v>0</v>
      </c>
      <c r="G62" s="39">
        <f t="shared" si="0"/>
        <v>0.37440000000000001</v>
      </c>
      <c r="H62" s="43">
        <v>44203</v>
      </c>
      <c r="I62" s="40">
        <v>44203</v>
      </c>
      <c r="J62" s="233">
        <f t="shared" si="1"/>
        <v>0</v>
      </c>
      <c r="K62" s="394">
        <v>9.6299999999999997E-2</v>
      </c>
      <c r="L62" s="238">
        <f t="shared" si="5"/>
        <v>0</v>
      </c>
    </row>
    <row r="63" spans="1:12" ht="16.5" customHeight="1" x14ac:dyDescent="0.25">
      <c r="A63" s="18">
        <v>4952</v>
      </c>
      <c r="B63" s="35">
        <v>1</v>
      </c>
      <c r="C63" s="36" t="s">
        <v>60</v>
      </c>
      <c r="D63" s="42">
        <v>4.68</v>
      </c>
      <c r="E63" s="38">
        <f>ROUND(D63*B63,2)</f>
        <v>4.68</v>
      </c>
      <c r="F63" s="39">
        <f>D63-E63</f>
        <v>0</v>
      </c>
      <c r="G63" s="39">
        <f t="shared" si="0"/>
        <v>0.37440000000000001</v>
      </c>
      <c r="H63" s="43">
        <v>44203</v>
      </c>
      <c r="I63" s="40">
        <v>44203</v>
      </c>
      <c r="J63" s="233">
        <f t="shared" si="1"/>
        <v>0</v>
      </c>
      <c r="K63" s="394">
        <v>9.6299999999999997E-2</v>
      </c>
      <c r="L63" s="238">
        <f t="shared" si="5"/>
        <v>0</v>
      </c>
    </row>
    <row r="64" spans="1:12" ht="16.5" customHeight="1" x14ac:dyDescent="0.25">
      <c r="A64" s="18">
        <v>5000</v>
      </c>
      <c r="B64" s="35">
        <v>1</v>
      </c>
      <c r="C64" s="36" t="s">
        <v>61</v>
      </c>
      <c r="D64" s="42">
        <v>51.46</v>
      </c>
      <c r="E64" s="38">
        <f t="shared" si="3"/>
        <v>51.46</v>
      </c>
      <c r="F64" s="39">
        <f t="shared" ref="F64:F99" si="6">D64-E64</f>
        <v>0</v>
      </c>
      <c r="G64" s="39">
        <f t="shared" si="0"/>
        <v>4.1168000000000005</v>
      </c>
      <c r="H64" s="43">
        <v>44203</v>
      </c>
      <c r="I64" s="40">
        <v>44203</v>
      </c>
      <c r="J64" s="233">
        <f t="shared" si="1"/>
        <v>0</v>
      </c>
      <c r="K64" s="394">
        <v>9.6299999999999997E-2</v>
      </c>
      <c r="L64" s="238">
        <f t="shared" si="5"/>
        <v>0</v>
      </c>
    </row>
    <row r="65" spans="1:12" ht="16.5" customHeight="1" x14ac:dyDescent="0.25">
      <c r="A65" s="18">
        <v>5086</v>
      </c>
      <c r="B65" s="35">
        <v>1</v>
      </c>
      <c r="C65" s="36" t="s">
        <v>62</v>
      </c>
      <c r="D65" s="42">
        <v>2.85</v>
      </c>
      <c r="E65" s="38">
        <f t="shared" si="3"/>
        <v>2.85</v>
      </c>
      <c r="F65" s="39">
        <f t="shared" si="6"/>
        <v>0</v>
      </c>
      <c r="G65" s="39">
        <f t="shared" si="0"/>
        <v>0.22800000000000001</v>
      </c>
      <c r="H65" s="43">
        <v>44203</v>
      </c>
      <c r="I65" s="40">
        <v>44203</v>
      </c>
      <c r="J65" s="233">
        <f t="shared" si="1"/>
        <v>0</v>
      </c>
      <c r="K65" s="394">
        <v>9.6299999999999997E-2</v>
      </c>
      <c r="L65" s="238">
        <f t="shared" si="5"/>
        <v>0</v>
      </c>
    </row>
    <row r="66" spans="1:12" ht="16.5" customHeight="1" x14ac:dyDescent="0.25">
      <c r="A66" s="18">
        <v>5103</v>
      </c>
      <c r="B66" s="35">
        <v>1</v>
      </c>
      <c r="C66" s="36" t="s">
        <v>63</v>
      </c>
      <c r="D66" s="42">
        <v>191.75</v>
      </c>
      <c r="E66" s="38">
        <f t="shared" si="3"/>
        <v>191.75</v>
      </c>
      <c r="F66" s="39">
        <f t="shared" si="6"/>
        <v>0</v>
      </c>
      <c r="G66" s="39">
        <f t="shared" ref="G66:G101" si="7">D66*8%</f>
        <v>15.34</v>
      </c>
      <c r="H66" s="43">
        <v>44203</v>
      </c>
      <c r="I66" s="40">
        <v>44203</v>
      </c>
      <c r="J66" s="233">
        <f t="shared" ref="J66:J99" si="8">H66-I66</f>
        <v>0</v>
      </c>
      <c r="K66" s="394">
        <v>9.6299999999999997E-2</v>
      </c>
      <c r="L66" s="238">
        <f t="shared" si="5"/>
        <v>0</v>
      </c>
    </row>
    <row r="67" spans="1:12" ht="16.5" customHeight="1" x14ac:dyDescent="0.25">
      <c r="A67" s="18">
        <v>329</v>
      </c>
      <c r="B67" s="35">
        <v>1</v>
      </c>
      <c r="C67" s="36" t="s">
        <v>64</v>
      </c>
      <c r="D67" s="42">
        <v>10.79</v>
      </c>
      <c r="E67" s="38">
        <f t="shared" ref="E67:E99" si="9">ROUND(D67*B67,2)</f>
        <v>10.79</v>
      </c>
      <c r="F67" s="39">
        <f t="shared" si="6"/>
        <v>0</v>
      </c>
      <c r="G67" s="39">
        <f t="shared" si="7"/>
        <v>0.86319999999999997</v>
      </c>
      <c r="H67" s="43">
        <v>44203</v>
      </c>
      <c r="I67" s="40">
        <v>44203</v>
      </c>
      <c r="J67" s="233">
        <f t="shared" si="8"/>
        <v>0</v>
      </c>
      <c r="K67" s="394">
        <v>9.6299999999999997E-2</v>
      </c>
      <c r="L67" s="238">
        <f t="shared" si="5"/>
        <v>0</v>
      </c>
    </row>
    <row r="68" spans="1:12" ht="16.5" customHeight="1" x14ac:dyDescent="0.25">
      <c r="A68" s="18">
        <v>5059</v>
      </c>
      <c r="B68" s="35">
        <v>1</v>
      </c>
      <c r="C68" s="36" t="s">
        <v>65</v>
      </c>
      <c r="D68" s="42">
        <v>881.84</v>
      </c>
      <c r="E68" s="38">
        <f t="shared" si="9"/>
        <v>881.84</v>
      </c>
      <c r="F68" s="39">
        <f t="shared" si="6"/>
        <v>0</v>
      </c>
      <c r="G68" s="39">
        <f t="shared" si="7"/>
        <v>70.547200000000004</v>
      </c>
      <c r="H68" s="43">
        <v>44203</v>
      </c>
      <c r="I68" s="40">
        <v>44203</v>
      </c>
      <c r="J68" s="233">
        <f t="shared" si="8"/>
        <v>0</v>
      </c>
      <c r="K68" s="394">
        <v>9.6299999999999997E-2</v>
      </c>
      <c r="L68" s="238">
        <f t="shared" si="5"/>
        <v>0</v>
      </c>
    </row>
    <row r="69" spans="1:12" ht="16.5" customHeight="1" x14ac:dyDescent="0.25">
      <c r="A69" s="18">
        <v>5115</v>
      </c>
      <c r="B69" s="35">
        <v>1</v>
      </c>
      <c r="C69" s="36" t="s">
        <v>66</v>
      </c>
      <c r="D69" s="42">
        <v>1129.28</v>
      </c>
      <c r="E69" s="38">
        <f t="shared" si="9"/>
        <v>1129.28</v>
      </c>
      <c r="F69" s="39">
        <f t="shared" si="6"/>
        <v>0</v>
      </c>
      <c r="G69" s="39">
        <f t="shared" si="7"/>
        <v>90.342399999999998</v>
      </c>
      <c r="H69" s="43">
        <v>44203</v>
      </c>
      <c r="I69" s="40">
        <v>44203</v>
      </c>
      <c r="J69" s="233">
        <f t="shared" si="8"/>
        <v>0</v>
      </c>
      <c r="K69" s="394">
        <v>9.6299999999999997E-2</v>
      </c>
      <c r="L69" s="238">
        <f t="shared" si="5"/>
        <v>0</v>
      </c>
    </row>
    <row r="70" spans="1:12" ht="16.5" customHeight="1" x14ac:dyDescent="0.25">
      <c r="A70" s="18">
        <v>5128</v>
      </c>
      <c r="B70" s="35">
        <v>1</v>
      </c>
      <c r="C70" s="36" t="s">
        <v>67</v>
      </c>
      <c r="D70" s="42">
        <v>766.96</v>
      </c>
      <c r="E70" s="38">
        <f t="shared" si="9"/>
        <v>766.96</v>
      </c>
      <c r="F70" s="39">
        <f t="shared" si="6"/>
        <v>0</v>
      </c>
      <c r="G70" s="39">
        <f t="shared" si="7"/>
        <v>61.356800000000007</v>
      </c>
      <c r="H70" s="43">
        <v>44203</v>
      </c>
      <c r="I70" s="40">
        <v>44203</v>
      </c>
      <c r="J70" s="233">
        <f t="shared" si="8"/>
        <v>0</v>
      </c>
      <c r="K70" s="394">
        <v>9.6299999999999997E-2</v>
      </c>
      <c r="L70" s="238">
        <f t="shared" si="5"/>
        <v>0</v>
      </c>
    </row>
    <row r="71" spans="1:12" ht="16.5" customHeight="1" x14ac:dyDescent="0.25">
      <c r="A71" s="18">
        <v>5106</v>
      </c>
      <c r="B71" s="35">
        <v>1</v>
      </c>
      <c r="C71" s="36" t="s">
        <v>68</v>
      </c>
      <c r="D71" s="42">
        <v>1270.81</v>
      </c>
      <c r="E71" s="38">
        <f t="shared" si="9"/>
        <v>1270.81</v>
      </c>
      <c r="F71" s="39">
        <f t="shared" si="6"/>
        <v>0</v>
      </c>
      <c r="G71" s="39">
        <f t="shared" si="7"/>
        <v>101.6648</v>
      </c>
      <c r="H71" s="43">
        <v>44203</v>
      </c>
      <c r="I71" s="40">
        <v>44203</v>
      </c>
      <c r="J71" s="233">
        <f t="shared" si="8"/>
        <v>0</v>
      </c>
      <c r="K71" s="394">
        <v>9.6299999999999997E-2</v>
      </c>
      <c r="L71" s="238">
        <f t="shared" si="5"/>
        <v>0</v>
      </c>
    </row>
    <row r="72" spans="1:12" ht="16.5" customHeight="1" x14ac:dyDescent="0.25">
      <c r="A72" s="18">
        <v>5134</v>
      </c>
      <c r="B72" s="35">
        <v>1</v>
      </c>
      <c r="C72" s="36" t="s">
        <v>69</v>
      </c>
      <c r="D72" s="42">
        <v>197</v>
      </c>
      <c r="E72" s="38">
        <f t="shared" si="9"/>
        <v>197</v>
      </c>
      <c r="F72" s="39">
        <f t="shared" si="6"/>
        <v>0</v>
      </c>
      <c r="G72" s="39">
        <f t="shared" si="7"/>
        <v>15.76</v>
      </c>
      <c r="H72" s="40">
        <v>44204</v>
      </c>
      <c r="I72" s="40">
        <v>44203</v>
      </c>
      <c r="J72" s="233">
        <f t="shared" si="8"/>
        <v>1</v>
      </c>
      <c r="K72" s="394">
        <v>9.6299999999999997E-2</v>
      </c>
      <c r="L72" s="238">
        <f t="shared" si="5"/>
        <v>0</v>
      </c>
    </row>
    <row r="73" spans="1:12" ht="16.5" customHeight="1" x14ac:dyDescent="0.25">
      <c r="A73" s="18">
        <v>5083</v>
      </c>
      <c r="B73" s="35">
        <v>1</v>
      </c>
      <c r="C73" s="36" t="s">
        <v>71</v>
      </c>
      <c r="D73" s="42">
        <v>2.85</v>
      </c>
      <c r="E73" s="38">
        <f t="shared" si="9"/>
        <v>2.85</v>
      </c>
      <c r="F73" s="39">
        <f t="shared" si="6"/>
        <v>0</v>
      </c>
      <c r="G73" s="39">
        <f t="shared" si="7"/>
        <v>0.22800000000000001</v>
      </c>
      <c r="H73" s="40">
        <v>44203</v>
      </c>
      <c r="I73" s="40">
        <v>44203</v>
      </c>
      <c r="J73" s="233">
        <f t="shared" si="8"/>
        <v>0</v>
      </c>
      <c r="K73" s="394">
        <v>9.6299999999999997E-2</v>
      </c>
      <c r="L73" s="238">
        <f t="shared" si="5"/>
        <v>0</v>
      </c>
    </row>
    <row r="74" spans="1:12" ht="16.5" customHeight="1" x14ac:dyDescent="0.25">
      <c r="A74" s="18">
        <v>4285</v>
      </c>
      <c r="B74" s="35">
        <v>1</v>
      </c>
      <c r="C74" s="36" t="s">
        <v>72</v>
      </c>
      <c r="D74" s="42">
        <v>97.24</v>
      </c>
      <c r="E74" s="38">
        <f t="shared" si="9"/>
        <v>97.24</v>
      </c>
      <c r="F74" s="39">
        <f t="shared" si="6"/>
        <v>0</v>
      </c>
      <c r="G74" s="39">
        <f t="shared" si="7"/>
        <v>7.7791999999999994</v>
      </c>
      <c r="H74" s="40">
        <v>44204</v>
      </c>
      <c r="I74" s="40">
        <v>44203</v>
      </c>
      <c r="J74" s="233">
        <f t="shared" si="8"/>
        <v>1</v>
      </c>
      <c r="K74" s="394">
        <v>9.6299999999999997E-2</v>
      </c>
      <c r="L74" s="238">
        <f t="shared" si="5"/>
        <v>0</v>
      </c>
    </row>
    <row r="75" spans="1:12" ht="16.5" customHeight="1" x14ac:dyDescent="0.25">
      <c r="A75" s="24">
        <v>5121</v>
      </c>
      <c r="B75" s="35">
        <v>1</v>
      </c>
      <c r="C75" s="36" t="s">
        <v>73</v>
      </c>
      <c r="D75" s="42">
        <v>1426.28</v>
      </c>
      <c r="E75" s="38">
        <f t="shared" si="9"/>
        <v>1426.28</v>
      </c>
      <c r="F75" s="39">
        <f t="shared" si="6"/>
        <v>0</v>
      </c>
      <c r="G75" s="39">
        <f t="shared" si="7"/>
        <v>114.1024</v>
      </c>
      <c r="H75" s="40">
        <v>44203</v>
      </c>
      <c r="I75" s="40">
        <v>44203</v>
      </c>
      <c r="J75" s="233">
        <f t="shared" si="8"/>
        <v>0</v>
      </c>
      <c r="K75" s="394">
        <v>9.6299999999999997E-2</v>
      </c>
      <c r="L75" s="238">
        <f t="shared" si="5"/>
        <v>0</v>
      </c>
    </row>
    <row r="76" spans="1:12" ht="16.5" customHeight="1" x14ac:dyDescent="0.25">
      <c r="A76" s="18">
        <v>5074</v>
      </c>
      <c r="B76" s="35">
        <v>1</v>
      </c>
      <c r="C76" s="36" t="s">
        <v>74</v>
      </c>
      <c r="D76" s="42">
        <v>3494.99</v>
      </c>
      <c r="E76" s="38">
        <f t="shared" si="9"/>
        <v>3494.99</v>
      </c>
      <c r="F76" s="39">
        <f t="shared" si="6"/>
        <v>0</v>
      </c>
      <c r="G76" s="39">
        <f t="shared" si="7"/>
        <v>279.5992</v>
      </c>
      <c r="H76" s="40">
        <v>44203</v>
      </c>
      <c r="I76" s="40">
        <v>44203</v>
      </c>
      <c r="J76" s="233">
        <f t="shared" si="8"/>
        <v>0</v>
      </c>
      <c r="K76" s="394">
        <v>9.6299999999999997E-2</v>
      </c>
      <c r="L76" s="238">
        <f t="shared" si="5"/>
        <v>0</v>
      </c>
    </row>
    <row r="77" spans="1:12" ht="16.5" customHeight="1" x14ac:dyDescent="0.25">
      <c r="A77" s="18">
        <v>5080</v>
      </c>
      <c r="B77" s="35">
        <v>1</v>
      </c>
      <c r="C77" s="36" t="s">
        <v>75</v>
      </c>
      <c r="D77" s="42">
        <v>1164.98</v>
      </c>
      <c r="E77" s="38">
        <f t="shared" si="9"/>
        <v>1164.98</v>
      </c>
      <c r="F77" s="39">
        <f t="shared" si="6"/>
        <v>0</v>
      </c>
      <c r="G77" s="39">
        <f t="shared" si="7"/>
        <v>93.198400000000007</v>
      </c>
      <c r="H77" s="40">
        <v>44203</v>
      </c>
      <c r="I77" s="40">
        <v>44203</v>
      </c>
      <c r="J77" s="233">
        <f t="shared" si="8"/>
        <v>0</v>
      </c>
      <c r="K77" s="394">
        <v>9.6299999999999997E-2</v>
      </c>
      <c r="L77" s="238">
        <f t="shared" si="5"/>
        <v>0</v>
      </c>
    </row>
    <row r="78" spans="1:12" ht="16.5" customHeight="1" x14ac:dyDescent="0.25">
      <c r="A78" s="18">
        <v>442</v>
      </c>
      <c r="B78" s="35">
        <v>1</v>
      </c>
      <c r="C78" s="36" t="s">
        <v>76</v>
      </c>
      <c r="D78" s="42">
        <v>10.08</v>
      </c>
      <c r="E78" s="38">
        <f t="shared" si="9"/>
        <v>10.08</v>
      </c>
      <c r="F78" s="39">
        <f t="shared" si="6"/>
        <v>0</v>
      </c>
      <c r="G78" s="39">
        <f t="shared" si="7"/>
        <v>0.80640000000000001</v>
      </c>
      <c r="H78" s="40">
        <v>44203</v>
      </c>
      <c r="I78" s="40">
        <v>44203</v>
      </c>
      <c r="J78" s="233">
        <f t="shared" si="8"/>
        <v>0</v>
      </c>
      <c r="K78" s="394">
        <v>9.6299999999999997E-2</v>
      </c>
      <c r="L78" s="238">
        <f t="shared" si="5"/>
        <v>0</v>
      </c>
    </row>
    <row r="79" spans="1:12" ht="16.5" customHeight="1" x14ac:dyDescent="0.25">
      <c r="A79" s="18">
        <v>5100</v>
      </c>
      <c r="B79" s="35">
        <v>1</v>
      </c>
      <c r="C79" s="36" t="s">
        <v>77</v>
      </c>
      <c r="D79" s="42">
        <v>1532.19</v>
      </c>
      <c r="E79" s="38">
        <f t="shared" si="9"/>
        <v>1532.19</v>
      </c>
      <c r="F79" s="39">
        <f t="shared" si="6"/>
        <v>0</v>
      </c>
      <c r="G79" s="39">
        <f t="shared" si="7"/>
        <v>122.57520000000001</v>
      </c>
      <c r="H79" s="40">
        <v>44203</v>
      </c>
      <c r="I79" s="40">
        <v>44203</v>
      </c>
      <c r="J79" s="233">
        <f t="shared" si="8"/>
        <v>0</v>
      </c>
      <c r="K79" s="394">
        <v>9.6299999999999997E-2</v>
      </c>
      <c r="L79" s="238">
        <f t="shared" si="5"/>
        <v>0</v>
      </c>
    </row>
    <row r="80" spans="1:12" ht="16.5" customHeight="1" x14ac:dyDescent="0.25">
      <c r="A80" s="18">
        <v>5084</v>
      </c>
      <c r="B80" s="35">
        <v>1</v>
      </c>
      <c r="C80" s="36" t="s">
        <v>78</v>
      </c>
      <c r="D80" s="42">
        <v>3174.32</v>
      </c>
      <c r="E80" s="38">
        <f t="shared" si="9"/>
        <v>3174.32</v>
      </c>
      <c r="F80" s="39">
        <f t="shared" si="6"/>
        <v>0</v>
      </c>
      <c r="G80" s="39">
        <f t="shared" si="7"/>
        <v>253.94560000000001</v>
      </c>
      <c r="H80" s="40">
        <v>44203</v>
      </c>
      <c r="I80" s="40">
        <v>44203</v>
      </c>
      <c r="J80" s="233">
        <f t="shared" si="8"/>
        <v>0</v>
      </c>
      <c r="K80" s="394">
        <v>9.6299999999999997E-2</v>
      </c>
      <c r="L80" s="238">
        <f t="shared" si="5"/>
        <v>0</v>
      </c>
    </row>
    <row r="81" spans="1:12" ht="16.5" customHeight="1" x14ac:dyDescent="0.25">
      <c r="A81" s="18">
        <v>5142</v>
      </c>
      <c r="B81" s="35">
        <v>1</v>
      </c>
      <c r="C81" s="36" t="s">
        <v>79</v>
      </c>
      <c r="D81" s="42">
        <v>785.82</v>
      </c>
      <c r="E81" s="38">
        <f t="shared" si="9"/>
        <v>785.82</v>
      </c>
      <c r="F81" s="39">
        <f t="shared" si="6"/>
        <v>0</v>
      </c>
      <c r="G81" s="39">
        <f t="shared" si="7"/>
        <v>62.865600000000008</v>
      </c>
      <c r="H81" s="40">
        <v>44203</v>
      </c>
      <c r="I81" s="40">
        <v>44203</v>
      </c>
      <c r="J81" s="233">
        <f t="shared" si="8"/>
        <v>0</v>
      </c>
      <c r="K81" s="394">
        <v>9.6299999999999997E-2</v>
      </c>
      <c r="L81" s="238">
        <f t="shared" si="5"/>
        <v>0</v>
      </c>
    </row>
    <row r="82" spans="1:12" ht="16.5" customHeight="1" x14ac:dyDescent="0.25">
      <c r="A82" s="18">
        <v>5082</v>
      </c>
      <c r="B82" s="35">
        <v>1</v>
      </c>
      <c r="C82" s="36" t="s">
        <v>80</v>
      </c>
      <c r="D82" s="42">
        <v>1928.32</v>
      </c>
      <c r="E82" s="38">
        <f t="shared" si="9"/>
        <v>1928.32</v>
      </c>
      <c r="F82" s="39">
        <f t="shared" si="6"/>
        <v>0</v>
      </c>
      <c r="G82" s="39">
        <f t="shared" si="7"/>
        <v>154.26560000000001</v>
      </c>
      <c r="H82" s="40">
        <v>44203</v>
      </c>
      <c r="I82" s="40">
        <v>44203</v>
      </c>
      <c r="J82" s="233">
        <f t="shared" si="8"/>
        <v>0</v>
      </c>
      <c r="K82" s="394">
        <v>9.6299999999999997E-2</v>
      </c>
      <c r="L82" s="238">
        <f t="shared" si="5"/>
        <v>0</v>
      </c>
    </row>
    <row r="83" spans="1:12" ht="16.5" customHeight="1" x14ac:dyDescent="0.25">
      <c r="A83" s="18">
        <v>5130</v>
      </c>
      <c r="B83" s="35">
        <v>1</v>
      </c>
      <c r="C83" s="36" t="s">
        <v>81</v>
      </c>
      <c r="D83" s="42">
        <v>1532.35</v>
      </c>
      <c r="E83" s="38">
        <f t="shared" si="9"/>
        <v>1532.35</v>
      </c>
      <c r="F83" s="39">
        <f t="shared" si="6"/>
        <v>0</v>
      </c>
      <c r="G83" s="39">
        <f t="shared" si="7"/>
        <v>122.58799999999999</v>
      </c>
      <c r="H83" s="40">
        <v>44203</v>
      </c>
      <c r="I83" s="40">
        <v>44203</v>
      </c>
      <c r="J83" s="233">
        <f t="shared" si="8"/>
        <v>0</v>
      </c>
      <c r="K83" s="394">
        <v>9.6299999999999997E-2</v>
      </c>
      <c r="L83" s="238">
        <f t="shared" si="5"/>
        <v>0</v>
      </c>
    </row>
    <row r="84" spans="1:12" ht="16.5" customHeight="1" x14ac:dyDescent="0.25">
      <c r="A84" s="18">
        <v>5095</v>
      </c>
      <c r="B84" s="35">
        <v>1</v>
      </c>
      <c r="C84" s="36" t="s">
        <v>82</v>
      </c>
      <c r="D84" s="42">
        <v>1532.19</v>
      </c>
      <c r="E84" s="38">
        <f t="shared" si="9"/>
        <v>1532.19</v>
      </c>
      <c r="F84" s="39">
        <f t="shared" si="6"/>
        <v>0</v>
      </c>
      <c r="G84" s="39">
        <f t="shared" si="7"/>
        <v>122.57520000000001</v>
      </c>
      <c r="H84" s="40">
        <v>44203</v>
      </c>
      <c r="I84" s="40">
        <v>44203</v>
      </c>
      <c r="J84" s="233">
        <f t="shared" si="8"/>
        <v>0</v>
      </c>
      <c r="K84" s="394">
        <v>9.6299999999999997E-2</v>
      </c>
      <c r="L84" s="238">
        <f t="shared" si="5"/>
        <v>0</v>
      </c>
    </row>
    <row r="85" spans="1:12" ht="16.5" customHeight="1" x14ac:dyDescent="0.25">
      <c r="A85" s="18">
        <v>4945</v>
      </c>
      <c r="B85" s="35">
        <v>1</v>
      </c>
      <c r="C85" s="36" t="s">
        <v>84</v>
      </c>
      <c r="D85" s="42">
        <v>49.15</v>
      </c>
      <c r="E85" s="38">
        <f t="shared" si="9"/>
        <v>49.15</v>
      </c>
      <c r="F85" s="39">
        <f t="shared" si="6"/>
        <v>0</v>
      </c>
      <c r="G85" s="39">
        <f t="shared" si="7"/>
        <v>3.9319999999999999</v>
      </c>
      <c r="H85" s="40">
        <v>44203</v>
      </c>
      <c r="I85" s="40">
        <v>44203</v>
      </c>
      <c r="J85" s="233">
        <f t="shared" si="8"/>
        <v>0</v>
      </c>
      <c r="K85" s="394">
        <v>9.6299999999999997E-2</v>
      </c>
      <c r="L85" s="238">
        <f t="shared" si="5"/>
        <v>0</v>
      </c>
    </row>
    <row r="86" spans="1:12" ht="16.5" customHeight="1" x14ac:dyDescent="0.25">
      <c r="A86" s="18">
        <v>663</v>
      </c>
      <c r="B86" s="35">
        <v>1</v>
      </c>
      <c r="C86" s="36" t="s">
        <v>85</v>
      </c>
      <c r="D86" s="42">
        <v>5.96</v>
      </c>
      <c r="E86" s="38">
        <f t="shared" si="9"/>
        <v>5.96</v>
      </c>
      <c r="F86" s="39">
        <f t="shared" si="6"/>
        <v>0</v>
      </c>
      <c r="G86" s="39">
        <f t="shared" si="7"/>
        <v>0.4768</v>
      </c>
      <c r="H86" s="40">
        <v>44203</v>
      </c>
      <c r="I86" s="40">
        <v>44203</v>
      </c>
      <c r="J86" s="233">
        <f t="shared" si="8"/>
        <v>0</v>
      </c>
      <c r="K86" s="394">
        <v>9.6299999999999997E-2</v>
      </c>
      <c r="L86" s="238">
        <f t="shared" si="5"/>
        <v>0</v>
      </c>
    </row>
    <row r="87" spans="1:12" ht="16.5" customHeight="1" x14ac:dyDescent="0.25">
      <c r="A87" s="18">
        <v>4783</v>
      </c>
      <c r="B87" s="35">
        <v>1</v>
      </c>
      <c r="C87" s="36" t="s">
        <v>87</v>
      </c>
      <c r="D87" s="42">
        <v>0.72</v>
      </c>
      <c r="E87" s="38">
        <f t="shared" si="9"/>
        <v>0.72</v>
      </c>
      <c r="F87" s="39">
        <f t="shared" si="6"/>
        <v>0</v>
      </c>
      <c r="G87" s="39">
        <f t="shared" si="7"/>
        <v>5.7599999999999998E-2</v>
      </c>
      <c r="H87" s="40">
        <v>44203</v>
      </c>
      <c r="I87" s="40">
        <v>44203</v>
      </c>
      <c r="J87" s="233">
        <f t="shared" si="8"/>
        <v>0</v>
      </c>
      <c r="K87" s="394">
        <v>9.6299999999999997E-2</v>
      </c>
      <c r="L87" s="238">
        <f t="shared" si="5"/>
        <v>0</v>
      </c>
    </row>
    <row r="88" spans="1:12" ht="16.5" customHeight="1" x14ac:dyDescent="0.25">
      <c r="A88" s="18">
        <v>4535</v>
      </c>
      <c r="B88" s="35">
        <v>1</v>
      </c>
      <c r="C88" s="36" t="s">
        <v>88</v>
      </c>
      <c r="D88" s="42">
        <v>97.24</v>
      </c>
      <c r="E88" s="38">
        <f t="shared" si="9"/>
        <v>97.24</v>
      </c>
      <c r="F88" s="39">
        <f t="shared" si="6"/>
        <v>0</v>
      </c>
      <c r="G88" s="39">
        <f t="shared" si="7"/>
        <v>7.7791999999999994</v>
      </c>
      <c r="H88" s="40">
        <v>44203</v>
      </c>
      <c r="I88" s="40">
        <v>44203</v>
      </c>
      <c r="J88" s="233">
        <f t="shared" si="8"/>
        <v>0</v>
      </c>
      <c r="K88" s="394">
        <v>9.6299999999999997E-2</v>
      </c>
      <c r="L88" s="238">
        <f t="shared" si="5"/>
        <v>0</v>
      </c>
    </row>
    <row r="89" spans="1:12" ht="16.5" customHeight="1" x14ac:dyDescent="0.25">
      <c r="A89" s="18">
        <v>4594</v>
      </c>
      <c r="B89" s="35">
        <v>1</v>
      </c>
      <c r="C89" s="36" t="s">
        <v>89</v>
      </c>
      <c r="D89" s="42">
        <v>52.27</v>
      </c>
      <c r="E89" s="38">
        <f t="shared" si="9"/>
        <v>52.27</v>
      </c>
      <c r="F89" s="39">
        <f t="shared" si="6"/>
        <v>0</v>
      </c>
      <c r="G89" s="39">
        <f t="shared" si="7"/>
        <v>4.1816000000000004</v>
      </c>
      <c r="H89" s="40">
        <v>44203</v>
      </c>
      <c r="I89" s="40">
        <v>44203</v>
      </c>
      <c r="J89" s="233">
        <f t="shared" si="8"/>
        <v>0</v>
      </c>
      <c r="K89" s="394">
        <v>9.6299999999999997E-2</v>
      </c>
      <c r="L89" s="238">
        <f t="shared" si="5"/>
        <v>0</v>
      </c>
    </row>
    <row r="90" spans="1:12" ht="16.5" customHeight="1" x14ac:dyDescent="0.25">
      <c r="A90" s="18">
        <v>710</v>
      </c>
      <c r="B90" s="35">
        <v>1</v>
      </c>
      <c r="C90" s="36" t="s">
        <v>90</v>
      </c>
      <c r="D90" s="42">
        <v>6.65</v>
      </c>
      <c r="E90" s="38">
        <f t="shared" si="9"/>
        <v>6.65</v>
      </c>
      <c r="F90" s="39">
        <f t="shared" si="6"/>
        <v>0</v>
      </c>
      <c r="G90" s="39">
        <f t="shared" si="7"/>
        <v>0.53200000000000003</v>
      </c>
      <c r="H90" s="40">
        <v>44203</v>
      </c>
      <c r="I90" s="40">
        <v>44203</v>
      </c>
      <c r="J90" s="233">
        <f t="shared" si="8"/>
        <v>0</v>
      </c>
      <c r="K90" s="394">
        <v>9.6299999999999997E-2</v>
      </c>
      <c r="L90" s="238">
        <f t="shared" si="5"/>
        <v>0</v>
      </c>
    </row>
    <row r="91" spans="1:12" ht="16.5" customHeight="1" x14ac:dyDescent="0.25">
      <c r="A91" s="18">
        <v>4976</v>
      </c>
      <c r="B91" s="35">
        <v>1</v>
      </c>
      <c r="C91" s="36" t="s">
        <v>91</v>
      </c>
      <c r="D91" s="42">
        <v>2.84</v>
      </c>
      <c r="E91" s="38">
        <f t="shared" si="9"/>
        <v>2.84</v>
      </c>
      <c r="F91" s="39">
        <f t="shared" si="6"/>
        <v>0</v>
      </c>
      <c r="G91" s="39">
        <f t="shared" si="7"/>
        <v>0.22719999999999999</v>
      </c>
      <c r="H91" s="40">
        <v>44203</v>
      </c>
      <c r="I91" s="40">
        <v>44203</v>
      </c>
      <c r="J91" s="233">
        <f t="shared" si="8"/>
        <v>0</v>
      </c>
      <c r="K91" s="394">
        <v>9.6299999999999997E-2</v>
      </c>
      <c r="L91" s="238">
        <f t="shared" si="5"/>
        <v>0</v>
      </c>
    </row>
    <row r="92" spans="1:12" ht="16.5" customHeight="1" x14ac:dyDescent="0.25">
      <c r="A92" s="18">
        <v>4935</v>
      </c>
      <c r="B92" s="35">
        <v>1</v>
      </c>
      <c r="C92" s="36" t="s">
        <v>93</v>
      </c>
      <c r="D92" s="42">
        <v>48.62</v>
      </c>
      <c r="E92" s="38">
        <f t="shared" si="9"/>
        <v>48.62</v>
      </c>
      <c r="F92" s="39">
        <f t="shared" si="6"/>
        <v>0</v>
      </c>
      <c r="G92" s="39">
        <f t="shared" si="7"/>
        <v>3.8895999999999997</v>
      </c>
      <c r="H92" s="40">
        <v>44203</v>
      </c>
      <c r="I92" s="40">
        <v>44203</v>
      </c>
      <c r="J92" s="233">
        <f t="shared" si="8"/>
        <v>0</v>
      </c>
      <c r="K92" s="394">
        <v>9.6299999999999997E-2</v>
      </c>
      <c r="L92" s="238">
        <f t="shared" si="5"/>
        <v>0</v>
      </c>
    </row>
    <row r="93" spans="1:12" ht="16.5" customHeight="1" x14ac:dyDescent="0.25">
      <c r="A93" s="18">
        <v>5096</v>
      </c>
      <c r="B93" s="35">
        <v>1</v>
      </c>
      <c r="C93" s="36" t="s">
        <v>94</v>
      </c>
      <c r="D93" s="42">
        <v>1074.53</v>
      </c>
      <c r="E93" s="38">
        <f t="shared" si="9"/>
        <v>1074.53</v>
      </c>
      <c r="F93" s="39">
        <f t="shared" si="6"/>
        <v>0</v>
      </c>
      <c r="G93" s="39">
        <f t="shared" si="7"/>
        <v>85.962400000000002</v>
      </c>
      <c r="H93" s="40">
        <v>44203</v>
      </c>
      <c r="I93" s="40">
        <v>44203</v>
      </c>
      <c r="J93" s="233">
        <f t="shared" si="8"/>
        <v>0</v>
      </c>
      <c r="K93" s="394">
        <v>9.6299999999999997E-2</v>
      </c>
      <c r="L93" s="238">
        <f t="shared" si="5"/>
        <v>0</v>
      </c>
    </row>
    <row r="94" spans="1:12" ht="16.5" customHeight="1" x14ac:dyDescent="0.25">
      <c r="A94" s="18">
        <v>5081</v>
      </c>
      <c r="B94" s="35">
        <v>1</v>
      </c>
      <c r="C94" s="36" t="s">
        <v>95</v>
      </c>
      <c r="D94" s="42">
        <v>3004.99</v>
      </c>
      <c r="E94" s="38">
        <f t="shared" si="9"/>
        <v>3004.99</v>
      </c>
      <c r="F94" s="39">
        <f t="shared" si="6"/>
        <v>0</v>
      </c>
      <c r="G94" s="39">
        <f t="shared" si="7"/>
        <v>240.39919999999998</v>
      </c>
      <c r="H94" s="40">
        <v>44204</v>
      </c>
      <c r="I94" s="40">
        <v>44203</v>
      </c>
      <c r="J94" s="233">
        <f t="shared" si="8"/>
        <v>1</v>
      </c>
      <c r="K94" s="394">
        <v>9.6299999999999997E-2</v>
      </c>
      <c r="L94" s="238">
        <f t="shared" si="5"/>
        <v>0</v>
      </c>
    </row>
    <row r="95" spans="1:12" ht="16.5" customHeight="1" x14ac:dyDescent="0.25">
      <c r="A95" s="18">
        <v>4862</v>
      </c>
      <c r="B95" s="35">
        <v>1</v>
      </c>
      <c r="C95" s="36" t="s">
        <v>96</v>
      </c>
      <c r="D95" s="42">
        <v>0.53</v>
      </c>
      <c r="E95" s="38">
        <f t="shared" si="9"/>
        <v>0.53</v>
      </c>
      <c r="F95" s="39">
        <f t="shared" si="6"/>
        <v>0</v>
      </c>
      <c r="G95" s="39">
        <f t="shared" si="7"/>
        <v>4.24E-2</v>
      </c>
      <c r="H95" s="40">
        <v>44203</v>
      </c>
      <c r="I95" s="40">
        <v>44203</v>
      </c>
      <c r="J95" s="233">
        <f t="shared" si="8"/>
        <v>0</v>
      </c>
      <c r="K95" s="394">
        <v>9.6299999999999997E-2</v>
      </c>
      <c r="L95" s="238">
        <f t="shared" si="5"/>
        <v>0</v>
      </c>
    </row>
    <row r="96" spans="1:12" ht="16.5" customHeight="1" x14ac:dyDescent="0.25">
      <c r="A96" s="18">
        <v>5011</v>
      </c>
      <c r="B96" s="35">
        <v>1</v>
      </c>
      <c r="C96" s="36" t="s">
        <v>98</v>
      </c>
      <c r="D96" s="42">
        <v>2420.6</v>
      </c>
      <c r="E96" s="38">
        <f t="shared" si="9"/>
        <v>2420.6</v>
      </c>
      <c r="F96" s="39">
        <f t="shared" si="6"/>
        <v>0</v>
      </c>
      <c r="G96" s="39">
        <f t="shared" si="7"/>
        <v>193.648</v>
      </c>
      <c r="H96" s="40">
        <v>44215</v>
      </c>
      <c r="I96" s="40">
        <v>44203</v>
      </c>
      <c r="J96" s="233">
        <f t="shared" si="8"/>
        <v>12</v>
      </c>
      <c r="K96" s="394">
        <v>9.6299999999999997E-2</v>
      </c>
      <c r="L96" s="238">
        <f t="shared" ref="L96:L99" si="10">F96*K96</f>
        <v>0</v>
      </c>
    </row>
    <row r="97" spans="1:12" ht="16.5" customHeight="1" x14ac:dyDescent="0.25">
      <c r="A97" s="18">
        <v>5098</v>
      </c>
      <c r="B97" s="35">
        <v>1</v>
      </c>
      <c r="C97" s="36" t="s">
        <v>99</v>
      </c>
      <c r="D97" s="42">
        <v>1725.98</v>
      </c>
      <c r="E97" s="38">
        <f t="shared" si="9"/>
        <v>1725.98</v>
      </c>
      <c r="F97" s="39">
        <f t="shared" si="6"/>
        <v>0</v>
      </c>
      <c r="G97" s="39">
        <f t="shared" si="7"/>
        <v>138.07840000000002</v>
      </c>
      <c r="H97" s="40">
        <v>44203</v>
      </c>
      <c r="I97" s="40">
        <v>44203</v>
      </c>
      <c r="J97" s="233">
        <f t="shared" si="8"/>
        <v>0</v>
      </c>
      <c r="K97" s="394">
        <v>9.6299999999999997E-2</v>
      </c>
      <c r="L97" s="238">
        <f t="shared" si="10"/>
        <v>0</v>
      </c>
    </row>
    <row r="98" spans="1:12" ht="16.5" customHeight="1" x14ac:dyDescent="0.25">
      <c r="A98" s="18">
        <v>5060</v>
      </c>
      <c r="B98" s="35">
        <v>1</v>
      </c>
      <c r="C98" s="36" t="s">
        <v>100</v>
      </c>
      <c r="D98" s="44">
        <v>1000.88</v>
      </c>
      <c r="E98" s="38">
        <f t="shared" si="9"/>
        <v>1000.88</v>
      </c>
      <c r="F98" s="39">
        <f t="shared" si="6"/>
        <v>0</v>
      </c>
      <c r="G98" s="39">
        <f t="shared" si="7"/>
        <v>80.070400000000006</v>
      </c>
      <c r="H98" s="40">
        <v>44203</v>
      </c>
      <c r="I98" s="40">
        <v>44203</v>
      </c>
      <c r="J98" s="233">
        <f t="shared" si="8"/>
        <v>0</v>
      </c>
      <c r="K98" s="394">
        <v>9.6299999999999997E-2</v>
      </c>
      <c r="L98" s="238">
        <f t="shared" si="10"/>
        <v>0</v>
      </c>
    </row>
    <row r="99" spans="1:12" ht="16.5" customHeight="1" x14ac:dyDescent="0.25">
      <c r="A99" s="18">
        <v>4999</v>
      </c>
      <c r="B99" s="35">
        <v>1</v>
      </c>
      <c r="C99" s="36" t="s">
        <v>101</v>
      </c>
      <c r="D99" s="44">
        <v>3.07</v>
      </c>
      <c r="E99" s="38">
        <f t="shared" si="9"/>
        <v>3.07</v>
      </c>
      <c r="F99" s="39">
        <f t="shared" si="6"/>
        <v>0</v>
      </c>
      <c r="G99" s="39">
        <f t="shared" si="7"/>
        <v>0.24559999999999998</v>
      </c>
      <c r="H99" s="40">
        <v>44203</v>
      </c>
      <c r="I99" s="40">
        <v>44203</v>
      </c>
      <c r="J99" s="233">
        <f t="shared" si="8"/>
        <v>0</v>
      </c>
      <c r="K99" s="394">
        <v>9.6299999999999997E-2</v>
      </c>
      <c r="L99" s="238">
        <f t="shared" si="10"/>
        <v>0</v>
      </c>
    </row>
    <row r="100" spans="1:12" ht="16.5" customHeight="1" x14ac:dyDescent="0.25">
      <c r="A100" s="21"/>
      <c r="B100" s="45"/>
      <c r="C100" s="46" t="s">
        <v>162</v>
      </c>
      <c r="D100" s="46">
        <f>SUM(D37:D99)</f>
        <v>47920.069999999985</v>
      </c>
      <c r="E100" s="48">
        <f>SUBTOTAL(9,E37:E99)</f>
        <v>47755.479999999989</v>
      </c>
      <c r="F100" s="46">
        <f>SUM(F37:F99)</f>
        <v>164.59</v>
      </c>
      <c r="G100" s="46">
        <f t="shared" si="7"/>
        <v>3833.605599999999</v>
      </c>
      <c r="H100" s="200"/>
      <c r="I100" s="200"/>
      <c r="J100" s="200"/>
      <c r="K100" s="360">
        <v>0</v>
      </c>
      <c r="L100" s="360">
        <f>SUM(L37:L99)</f>
        <v>15.850016999999999</v>
      </c>
    </row>
    <row r="101" spans="1:12" s="26" customFormat="1" ht="17.25" customHeight="1" x14ac:dyDescent="0.2">
      <c r="A101" s="25"/>
      <c r="B101" s="52"/>
      <c r="C101" s="53" t="s">
        <v>103</v>
      </c>
      <c r="D101" s="54">
        <f>D100+D36+D20</f>
        <v>139346.96999999997</v>
      </c>
      <c r="E101" s="55">
        <f>E100+E36+E20</f>
        <v>113298.59</v>
      </c>
      <c r="F101" s="55">
        <f>F100+F36+F20</f>
        <v>26048.379999999997</v>
      </c>
      <c r="G101" s="228">
        <f t="shared" si="7"/>
        <v>11147.757599999997</v>
      </c>
      <c r="H101" s="236"/>
      <c r="I101" s="237"/>
      <c r="J101" s="237"/>
      <c r="K101" s="239">
        <v>0</v>
      </c>
      <c r="L101" s="239">
        <f>L100+L36+L20</f>
        <v>2508.4589940000001</v>
      </c>
    </row>
    <row r="102" spans="1:12" s="26" customFormat="1" ht="17.25" customHeight="1" x14ac:dyDescent="0.25">
      <c r="B102" s="27"/>
      <c r="C102" s="28"/>
      <c r="D102" s="29"/>
      <c r="E102" s="30"/>
      <c r="F102" s="31"/>
      <c r="G102" s="31"/>
      <c r="H102" s="32"/>
      <c r="I102" s="32"/>
      <c r="J102" s="32"/>
      <c r="K102" s="32"/>
      <c r="L102" s="32"/>
    </row>
    <row r="103" spans="1:12" x14ac:dyDescent="0.25">
      <c r="C103" s="30"/>
      <c r="D103" s="30"/>
      <c r="E103" s="30"/>
      <c r="F103" s="30"/>
      <c r="G103" s="30"/>
    </row>
    <row r="104" spans="1:12" x14ac:dyDescent="0.25">
      <c r="C104" s="30"/>
      <c r="D104" s="30"/>
      <c r="E104" s="30"/>
      <c r="F104" s="30"/>
      <c r="G104" s="30"/>
    </row>
    <row r="105" spans="1:12" x14ac:dyDescent="0.25">
      <c r="D105" s="30"/>
      <c r="E105" s="33"/>
      <c r="F105" s="30"/>
      <c r="G105" s="30"/>
    </row>
    <row r="106" spans="1:12" x14ac:dyDescent="0.25">
      <c r="D106" s="30"/>
      <c r="E106" s="30"/>
      <c r="F106" s="30"/>
      <c r="G106" s="30"/>
    </row>
  </sheetData>
  <autoFilter ref="A4:L100" xr:uid="{00000000-0009-0000-0000-000000000000}"/>
  <pageMargins left="0.51181102362204722" right="0.51181102362204722" top="0.47244094488188981" bottom="0.47244094488188981" header="0.31496062992125984" footer="0.31496062992125984"/>
  <pageSetup paperSize="9" scale="7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E93C3-8495-43D7-9DEC-DDDE30F1747D}">
  <sheetPr>
    <tabColor rgb="FF00B050"/>
    <pageSetUpPr fitToPage="1"/>
  </sheetPr>
  <dimension ref="A1:M115"/>
  <sheetViews>
    <sheetView showGridLines="0" workbookViewId="0">
      <pane ySplit="4" topLeftCell="A93" activePane="bottomLeft" state="frozen"/>
      <selection pane="bottomLeft" activeCell="O19" sqref="O19"/>
    </sheetView>
  </sheetViews>
  <sheetFormatPr defaultRowHeight="15" x14ac:dyDescent="0.25"/>
  <cols>
    <col min="1" max="1" width="9.85546875" style="91" customWidth="1"/>
    <col min="2" max="2" width="44.7109375" style="91" bestFit="1" customWidth="1"/>
    <col min="3" max="3" width="19.140625" style="90" bestFit="1" customWidth="1"/>
    <col min="4" max="4" width="18.5703125" style="100" customWidth="1"/>
    <col min="5" max="6" width="20.28515625" style="100" customWidth="1"/>
    <col min="7" max="7" width="16.140625" style="91" bestFit="1" customWidth="1"/>
    <col min="8" max="8" width="19.7109375" style="91" hidden="1" customWidth="1"/>
    <col min="9" max="9" width="17.85546875" style="91" hidden="1" customWidth="1"/>
    <col min="10" max="10" width="25.28515625" style="91" hidden="1" customWidth="1"/>
    <col min="11" max="12" width="0" style="91" hidden="1" customWidth="1"/>
    <col min="13" max="13" width="10.5703125" style="91" bestFit="1" customWidth="1"/>
    <col min="14" max="16384" width="9.140625" style="91"/>
  </cols>
  <sheetData>
    <row r="1" spans="1:10" x14ac:dyDescent="0.25">
      <c r="A1" s="101"/>
      <c r="B1" s="102" t="s">
        <v>141</v>
      </c>
      <c r="C1" s="103"/>
      <c r="D1" s="103"/>
      <c r="E1" s="104"/>
      <c r="F1" s="104"/>
      <c r="G1" s="105"/>
      <c r="H1" s="105"/>
      <c r="I1" s="106"/>
    </row>
    <row r="2" spans="1:10" ht="15.75" x14ac:dyDescent="0.25">
      <c r="A2" s="107"/>
      <c r="B2" s="14" t="s">
        <v>166</v>
      </c>
      <c r="C2" s="15"/>
      <c r="D2" s="11"/>
      <c r="E2" s="11"/>
      <c r="F2" s="11"/>
      <c r="G2" s="90"/>
      <c r="H2" s="90"/>
      <c r="I2" s="108"/>
    </row>
    <row r="3" spans="1:10" ht="15.75" x14ac:dyDescent="0.25">
      <c r="A3" s="109"/>
      <c r="B3" s="110" t="s">
        <v>206</v>
      </c>
      <c r="C3" s="111"/>
      <c r="D3" s="112"/>
      <c r="E3" s="112"/>
      <c r="F3" s="112"/>
      <c r="G3" s="113"/>
      <c r="H3" s="113"/>
      <c r="I3" s="114"/>
    </row>
    <row r="4" spans="1:10" s="92" customFormat="1" ht="12" x14ac:dyDescent="0.2">
      <c r="A4" s="56" t="s">
        <v>143</v>
      </c>
      <c r="B4" s="57" t="s">
        <v>144</v>
      </c>
      <c r="C4" s="39" t="s">
        <v>140</v>
      </c>
      <c r="D4" s="38" t="s">
        <v>163</v>
      </c>
      <c r="E4" s="39" t="s">
        <v>146</v>
      </c>
      <c r="F4" s="39" t="s">
        <v>212</v>
      </c>
      <c r="G4" s="39" t="s">
        <v>147</v>
      </c>
      <c r="H4" s="39" t="s">
        <v>148</v>
      </c>
      <c r="I4" s="39" t="s">
        <v>149</v>
      </c>
    </row>
    <row r="5" spans="1:10" ht="16.5" customHeight="1" x14ac:dyDescent="0.25">
      <c r="A5" s="120">
        <v>0.65</v>
      </c>
      <c r="B5" s="121" t="s">
        <v>0</v>
      </c>
      <c r="C5" s="122">
        <v>2362.54</v>
      </c>
      <c r="D5" s="123">
        <f>ROUND(C5*A5,2)</f>
        <v>1535.65</v>
      </c>
      <c r="E5" s="122">
        <f>C5-D5</f>
        <v>826.88999999999987</v>
      </c>
      <c r="F5" s="122">
        <f>C5*8%</f>
        <v>189.00319999999999</v>
      </c>
      <c r="G5" s="124">
        <v>44257</v>
      </c>
      <c r="H5" s="115" t="s">
        <v>150</v>
      </c>
      <c r="I5" s="115" t="s">
        <v>151</v>
      </c>
    </row>
    <row r="6" spans="1:10" ht="16.5" customHeight="1" x14ac:dyDescent="0.25">
      <c r="A6" s="120">
        <v>0.65</v>
      </c>
      <c r="B6" s="125" t="s">
        <v>1</v>
      </c>
      <c r="C6" s="126">
        <v>3858.8</v>
      </c>
      <c r="D6" s="123">
        <f>ROUND(C6*A6,2)</f>
        <v>2508.2199999999998</v>
      </c>
      <c r="E6" s="122">
        <f>C6-D6</f>
        <v>1350.5800000000004</v>
      </c>
      <c r="F6" s="122">
        <f t="shared" ref="F6:F69" si="0">C6*8%</f>
        <v>308.70400000000001</v>
      </c>
      <c r="G6" s="124">
        <v>44236</v>
      </c>
      <c r="H6" s="115" t="s">
        <v>150</v>
      </c>
      <c r="I6" s="115" t="s">
        <v>152</v>
      </c>
    </row>
    <row r="7" spans="1:10" ht="16.5" customHeight="1" x14ac:dyDescent="0.25">
      <c r="A7" s="120">
        <v>0.65</v>
      </c>
      <c r="B7" s="125" t="s">
        <v>2</v>
      </c>
      <c r="C7" s="126">
        <v>1910.26</v>
      </c>
      <c r="D7" s="123">
        <f t="shared" ref="D7:D70" si="1">ROUND(C7*A7,2)</f>
        <v>1241.67</v>
      </c>
      <c r="E7" s="122">
        <f t="shared" ref="E7:E63" si="2">C7-D7</f>
        <v>668.58999999999992</v>
      </c>
      <c r="F7" s="122">
        <f t="shared" si="0"/>
        <v>152.82079999999999</v>
      </c>
      <c r="G7" s="124">
        <v>44236</v>
      </c>
      <c r="H7" s="115" t="s">
        <v>158</v>
      </c>
      <c r="I7" s="115" t="s">
        <v>152</v>
      </c>
    </row>
    <row r="8" spans="1:10" ht="16.5" customHeight="1" x14ac:dyDescent="0.25">
      <c r="A8" s="120">
        <v>0.65</v>
      </c>
      <c r="B8" s="121" t="s">
        <v>3</v>
      </c>
      <c r="C8" s="126">
        <v>3719.64</v>
      </c>
      <c r="D8" s="123">
        <f t="shared" si="1"/>
        <v>2417.77</v>
      </c>
      <c r="E8" s="122">
        <f t="shared" si="2"/>
        <v>1301.8699999999999</v>
      </c>
      <c r="F8" s="122">
        <f t="shared" si="0"/>
        <v>297.57119999999998</v>
      </c>
      <c r="G8" s="127">
        <v>44235</v>
      </c>
      <c r="H8" s="115" t="s">
        <v>158</v>
      </c>
      <c r="I8" s="115" t="s">
        <v>151</v>
      </c>
    </row>
    <row r="9" spans="1:10" ht="16.5" customHeight="1" x14ac:dyDescent="0.25">
      <c r="A9" s="120">
        <v>0.65</v>
      </c>
      <c r="B9" s="125" t="s">
        <v>4</v>
      </c>
      <c r="C9" s="126">
        <v>4186.9799999999996</v>
      </c>
      <c r="D9" s="123">
        <f t="shared" si="1"/>
        <v>2721.54</v>
      </c>
      <c r="E9" s="122">
        <f t="shared" si="2"/>
        <v>1465.4399999999996</v>
      </c>
      <c r="F9" s="122">
        <f t="shared" si="0"/>
        <v>334.95839999999998</v>
      </c>
      <c r="G9" s="124">
        <v>44236</v>
      </c>
      <c r="H9" s="115" t="s">
        <v>150</v>
      </c>
      <c r="I9" s="115" t="s">
        <v>152</v>
      </c>
    </row>
    <row r="10" spans="1:10" ht="16.5" customHeight="1" x14ac:dyDescent="0.25">
      <c r="A10" s="120">
        <v>0.65</v>
      </c>
      <c r="B10" s="125" t="s">
        <v>5</v>
      </c>
      <c r="C10" s="126">
        <v>6300.84</v>
      </c>
      <c r="D10" s="123">
        <f t="shared" si="1"/>
        <v>4095.55</v>
      </c>
      <c r="E10" s="122">
        <f t="shared" si="2"/>
        <v>2205.29</v>
      </c>
      <c r="F10" s="122">
        <f t="shared" si="0"/>
        <v>504.06720000000001</v>
      </c>
      <c r="G10" s="127">
        <v>44236</v>
      </c>
      <c r="H10" s="115" t="s">
        <v>158</v>
      </c>
      <c r="I10" s="115" t="s">
        <v>152</v>
      </c>
    </row>
    <row r="11" spans="1:10" ht="16.5" customHeight="1" x14ac:dyDescent="0.25">
      <c r="A11" s="120">
        <v>0.65</v>
      </c>
      <c r="B11" s="125" t="s">
        <v>6</v>
      </c>
      <c r="C11" s="126">
        <v>3329.52</v>
      </c>
      <c r="D11" s="123">
        <f t="shared" si="1"/>
        <v>2164.19</v>
      </c>
      <c r="E11" s="122">
        <f t="shared" si="2"/>
        <v>1165.33</v>
      </c>
      <c r="F11" s="122">
        <f t="shared" si="0"/>
        <v>266.36160000000001</v>
      </c>
      <c r="G11" s="124">
        <v>44232</v>
      </c>
      <c r="H11" s="115" t="s">
        <v>158</v>
      </c>
      <c r="I11" s="115" t="s">
        <v>151</v>
      </c>
    </row>
    <row r="12" spans="1:10" ht="16.5" customHeight="1" x14ac:dyDescent="0.25">
      <c r="A12" s="120">
        <v>0.65</v>
      </c>
      <c r="B12" s="125" t="s">
        <v>7</v>
      </c>
      <c r="C12" s="126">
        <v>3065.85</v>
      </c>
      <c r="D12" s="123">
        <f t="shared" si="1"/>
        <v>1992.8</v>
      </c>
      <c r="E12" s="122">
        <f t="shared" si="2"/>
        <v>1073.05</v>
      </c>
      <c r="F12" s="122">
        <f t="shared" si="0"/>
        <v>245.268</v>
      </c>
      <c r="G12" s="124">
        <v>44235</v>
      </c>
      <c r="H12" s="115" t="s">
        <v>150</v>
      </c>
      <c r="I12" s="115" t="s">
        <v>153</v>
      </c>
    </row>
    <row r="13" spans="1:10" ht="16.5" customHeight="1" x14ac:dyDescent="0.25">
      <c r="A13" s="120">
        <v>0.65</v>
      </c>
      <c r="B13" s="125" t="s">
        <v>8</v>
      </c>
      <c r="C13" s="126">
        <v>3210.09</v>
      </c>
      <c r="D13" s="123">
        <f t="shared" si="1"/>
        <v>2086.56</v>
      </c>
      <c r="E13" s="122">
        <f t="shared" si="2"/>
        <v>1123.5300000000002</v>
      </c>
      <c r="F13" s="122">
        <f t="shared" si="0"/>
        <v>256.80720000000002</v>
      </c>
      <c r="G13" s="124">
        <v>44257</v>
      </c>
      <c r="H13" s="115" t="s">
        <v>158</v>
      </c>
      <c r="I13" s="115" t="s">
        <v>152</v>
      </c>
    </row>
    <row r="14" spans="1:10" ht="16.5" customHeight="1" x14ac:dyDescent="0.25">
      <c r="A14" s="120">
        <v>0.65</v>
      </c>
      <c r="B14" s="125" t="s">
        <v>9</v>
      </c>
      <c r="C14" s="126">
        <v>3842.33</v>
      </c>
      <c r="D14" s="123">
        <f t="shared" si="1"/>
        <v>2497.5100000000002</v>
      </c>
      <c r="E14" s="122">
        <f t="shared" si="2"/>
        <v>1344.8199999999997</v>
      </c>
      <c r="F14" s="122">
        <f t="shared" si="0"/>
        <v>307.38639999999998</v>
      </c>
      <c r="G14" s="124">
        <v>44236</v>
      </c>
      <c r="H14" s="115" t="s">
        <v>158</v>
      </c>
      <c r="I14" s="115" t="s">
        <v>152</v>
      </c>
    </row>
    <row r="15" spans="1:10" ht="16.5" customHeight="1" x14ac:dyDescent="0.25">
      <c r="A15" s="120">
        <v>0.65</v>
      </c>
      <c r="B15" s="121" t="s">
        <v>10</v>
      </c>
      <c r="C15" s="126">
        <v>1004.39</v>
      </c>
      <c r="D15" s="123">
        <f t="shared" si="1"/>
        <v>652.85</v>
      </c>
      <c r="E15" s="122">
        <f t="shared" si="2"/>
        <v>351.53999999999996</v>
      </c>
      <c r="F15" s="122">
        <f t="shared" si="0"/>
        <v>80.351200000000006</v>
      </c>
      <c r="G15" s="127">
        <v>44235</v>
      </c>
      <c r="H15" s="115" t="s">
        <v>150</v>
      </c>
      <c r="I15" s="115" t="s">
        <v>155</v>
      </c>
    </row>
    <row r="16" spans="1:10" ht="16.5" customHeight="1" x14ac:dyDescent="0.25">
      <c r="A16" s="120">
        <v>0.65</v>
      </c>
      <c r="B16" s="125" t="s">
        <v>11</v>
      </c>
      <c r="C16" s="126">
        <v>4387.21</v>
      </c>
      <c r="D16" s="123">
        <v>0</v>
      </c>
      <c r="E16" s="122">
        <f>C16</f>
        <v>4387.21</v>
      </c>
      <c r="F16" s="122">
        <f t="shared" si="0"/>
        <v>350.97680000000003</v>
      </c>
      <c r="G16" s="124"/>
      <c r="H16" s="117" t="s">
        <v>150</v>
      </c>
      <c r="I16" s="117" t="s">
        <v>152</v>
      </c>
      <c r="J16" s="93" t="s">
        <v>167</v>
      </c>
    </row>
    <row r="17" spans="1:13" ht="16.5" customHeight="1" x14ac:dyDescent="0.25">
      <c r="A17" s="120">
        <v>0.65</v>
      </c>
      <c r="B17" s="125" t="s">
        <v>12</v>
      </c>
      <c r="C17" s="126">
        <v>3596.02</v>
      </c>
      <c r="D17" s="123">
        <f>ROUND(C17*A17,2)</f>
        <v>2337.41</v>
      </c>
      <c r="E17" s="122">
        <f>C17-D17</f>
        <v>1258.6100000000001</v>
      </c>
      <c r="F17" s="122">
        <f t="shared" si="0"/>
        <v>287.6816</v>
      </c>
      <c r="G17" s="124">
        <v>44239</v>
      </c>
      <c r="H17" s="115" t="s">
        <v>150</v>
      </c>
      <c r="I17" s="115" t="s">
        <v>154</v>
      </c>
    </row>
    <row r="18" spans="1:13" ht="16.5" customHeight="1" x14ac:dyDescent="0.25">
      <c r="A18" s="120">
        <v>0.65</v>
      </c>
      <c r="B18" s="125" t="s">
        <v>13</v>
      </c>
      <c r="C18" s="126">
        <v>3052.95</v>
      </c>
      <c r="D18" s="123">
        <f t="shared" si="1"/>
        <v>1984.42</v>
      </c>
      <c r="E18" s="122">
        <f t="shared" si="2"/>
        <v>1068.5299999999997</v>
      </c>
      <c r="F18" s="122">
        <f t="shared" si="0"/>
        <v>244.23599999999999</v>
      </c>
      <c r="G18" s="124">
        <v>44236</v>
      </c>
      <c r="H18" s="115" t="s">
        <v>158</v>
      </c>
      <c r="I18" s="115" t="s">
        <v>151</v>
      </c>
    </row>
    <row r="19" spans="1:13" ht="16.5" customHeight="1" x14ac:dyDescent="0.25">
      <c r="A19" s="120">
        <v>0.65</v>
      </c>
      <c r="B19" s="125" t="s">
        <v>14</v>
      </c>
      <c r="C19" s="126">
        <v>1906.46</v>
      </c>
      <c r="D19" s="123">
        <f t="shared" si="1"/>
        <v>1239.2</v>
      </c>
      <c r="E19" s="122">
        <f t="shared" si="2"/>
        <v>667.26</v>
      </c>
      <c r="F19" s="122">
        <f t="shared" si="0"/>
        <v>152.51680000000002</v>
      </c>
      <c r="G19" s="124">
        <v>44235</v>
      </c>
      <c r="H19" s="115" t="s">
        <v>150</v>
      </c>
      <c r="I19" s="115" t="s">
        <v>152</v>
      </c>
    </row>
    <row r="20" spans="1:13" ht="16.5" customHeight="1" x14ac:dyDescent="0.25">
      <c r="A20" s="120">
        <v>0.65</v>
      </c>
      <c r="B20" s="125" t="s">
        <v>15</v>
      </c>
      <c r="C20" s="126">
        <v>2452.9499999999998</v>
      </c>
      <c r="D20" s="123">
        <f>ROUND(C20*A20,2)</f>
        <v>1594.42</v>
      </c>
      <c r="E20" s="122">
        <f>C20-D20</f>
        <v>858.52999999999975</v>
      </c>
      <c r="F20" s="122">
        <f t="shared" si="0"/>
        <v>196.23599999999999</v>
      </c>
      <c r="G20" s="124">
        <v>44236</v>
      </c>
      <c r="H20" s="115" t="s">
        <v>158</v>
      </c>
      <c r="I20" s="115" t="s">
        <v>152</v>
      </c>
    </row>
    <row r="21" spans="1:13" ht="16.5" customHeight="1" x14ac:dyDescent="0.25">
      <c r="A21" s="129"/>
      <c r="B21" s="48" t="s">
        <v>156</v>
      </c>
      <c r="C21" s="48">
        <f>SUM(C5:C20)</f>
        <v>52186.829999999987</v>
      </c>
      <c r="D21" s="48">
        <f>SUM(D5:D20)</f>
        <v>31069.760000000002</v>
      </c>
      <c r="E21" s="48">
        <f>SUM(E5:E20)</f>
        <v>21117.069999999996</v>
      </c>
      <c r="F21" s="48">
        <f t="shared" si="0"/>
        <v>4174.9463999999989</v>
      </c>
      <c r="G21" s="131"/>
      <c r="H21" s="115"/>
      <c r="I21" s="115"/>
      <c r="M21" s="98"/>
    </row>
    <row r="22" spans="1:13" ht="16.5" customHeight="1" x14ac:dyDescent="0.25">
      <c r="A22" s="120">
        <v>0.8</v>
      </c>
      <c r="B22" s="121" t="s">
        <v>17</v>
      </c>
      <c r="C22" s="122">
        <v>2694.14</v>
      </c>
      <c r="D22" s="123">
        <f t="shared" si="1"/>
        <v>2155.31</v>
      </c>
      <c r="E22" s="122">
        <f t="shared" si="2"/>
        <v>538.82999999999993</v>
      </c>
      <c r="F22" s="122">
        <f t="shared" si="0"/>
        <v>215.53119999999998</v>
      </c>
      <c r="G22" s="127">
        <v>44232</v>
      </c>
      <c r="H22" s="115" t="s">
        <v>150</v>
      </c>
      <c r="I22" s="118" t="s">
        <v>157</v>
      </c>
    </row>
    <row r="23" spans="1:13" ht="16.5" customHeight="1" x14ac:dyDescent="0.25">
      <c r="A23" s="120">
        <v>0.8</v>
      </c>
      <c r="B23" s="121" t="s">
        <v>18</v>
      </c>
      <c r="C23" s="126">
        <v>4006.42</v>
      </c>
      <c r="D23" s="123">
        <f>ROUND(C23*A23,2)</f>
        <v>3205.14</v>
      </c>
      <c r="E23" s="122">
        <f>C23-D23</f>
        <v>801.2800000000002</v>
      </c>
      <c r="F23" s="122">
        <f t="shared" si="0"/>
        <v>320.5136</v>
      </c>
      <c r="G23" s="127">
        <v>44245</v>
      </c>
      <c r="H23" s="115" t="s">
        <v>150</v>
      </c>
      <c r="I23" s="115" t="s">
        <v>152</v>
      </c>
    </row>
    <row r="24" spans="1:13" ht="16.5" customHeight="1" x14ac:dyDescent="0.25">
      <c r="A24" s="120">
        <v>0.8</v>
      </c>
      <c r="B24" s="121" t="s">
        <v>19</v>
      </c>
      <c r="C24" s="122">
        <v>3981.89</v>
      </c>
      <c r="D24" s="123">
        <f t="shared" si="1"/>
        <v>3185.51</v>
      </c>
      <c r="E24" s="122">
        <f t="shared" si="2"/>
        <v>796.37999999999965</v>
      </c>
      <c r="F24" s="122">
        <f t="shared" si="0"/>
        <v>318.55119999999999</v>
      </c>
      <c r="G24" s="124">
        <v>44235</v>
      </c>
      <c r="H24" s="115" t="s">
        <v>158</v>
      </c>
      <c r="I24" s="115" t="s">
        <v>151</v>
      </c>
    </row>
    <row r="25" spans="1:13" ht="16.5" customHeight="1" x14ac:dyDescent="0.25">
      <c r="A25" s="120">
        <v>0.8</v>
      </c>
      <c r="B25" s="121" t="s">
        <v>20</v>
      </c>
      <c r="C25" s="122">
        <v>1476.03</v>
      </c>
      <c r="D25" s="123">
        <f>ROUND(C25*A25,2)-0.5</f>
        <v>1180.32</v>
      </c>
      <c r="E25" s="122">
        <f>C25-D25</f>
        <v>295.71000000000004</v>
      </c>
      <c r="F25" s="122">
        <f t="shared" si="0"/>
        <v>118.08240000000001</v>
      </c>
      <c r="G25" s="127">
        <v>44236</v>
      </c>
      <c r="H25" s="115" t="s">
        <v>158</v>
      </c>
      <c r="I25" s="115" t="s">
        <v>159</v>
      </c>
      <c r="J25" s="94"/>
    </row>
    <row r="26" spans="1:13" ht="16.5" customHeight="1" x14ac:dyDescent="0.25">
      <c r="A26" s="120">
        <v>0.8</v>
      </c>
      <c r="B26" s="121" t="s">
        <v>21</v>
      </c>
      <c r="C26" s="122">
        <v>606.66999999999996</v>
      </c>
      <c r="D26" s="123">
        <f t="shared" si="1"/>
        <v>485.34</v>
      </c>
      <c r="E26" s="122">
        <f t="shared" si="2"/>
        <v>121.32999999999998</v>
      </c>
      <c r="F26" s="122">
        <f t="shared" si="0"/>
        <v>48.5336</v>
      </c>
      <c r="G26" s="127">
        <v>44232</v>
      </c>
      <c r="H26" s="115" t="s">
        <v>158</v>
      </c>
      <c r="I26" s="115" t="s">
        <v>152</v>
      </c>
    </row>
    <row r="27" spans="1:13" ht="16.5" customHeight="1" x14ac:dyDescent="0.25">
      <c r="A27" s="120">
        <v>0.8</v>
      </c>
      <c r="B27" s="121" t="s">
        <v>22</v>
      </c>
      <c r="C27" s="122">
        <v>3473.17</v>
      </c>
      <c r="D27" s="123">
        <f t="shared" si="1"/>
        <v>2778.54</v>
      </c>
      <c r="E27" s="122">
        <f t="shared" si="2"/>
        <v>694.63000000000011</v>
      </c>
      <c r="F27" s="122">
        <f t="shared" si="0"/>
        <v>277.85360000000003</v>
      </c>
      <c r="G27" s="127">
        <v>44236</v>
      </c>
      <c r="H27" s="115" t="s">
        <v>158</v>
      </c>
      <c r="I27" s="115" t="s">
        <v>152</v>
      </c>
    </row>
    <row r="28" spans="1:13" ht="16.5" customHeight="1" x14ac:dyDescent="0.25">
      <c r="A28" s="120">
        <v>0.8</v>
      </c>
      <c r="B28" s="121" t="s">
        <v>23</v>
      </c>
      <c r="C28" s="126">
        <v>2081.3000000000002</v>
      </c>
      <c r="D28" s="123">
        <f t="shared" si="1"/>
        <v>1665.04</v>
      </c>
      <c r="E28" s="122">
        <f t="shared" si="2"/>
        <v>416.26000000000022</v>
      </c>
      <c r="F28" s="122">
        <f t="shared" si="0"/>
        <v>166.50400000000002</v>
      </c>
      <c r="G28" s="127">
        <v>44236</v>
      </c>
      <c r="H28" s="115" t="s">
        <v>150</v>
      </c>
      <c r="I28" s="115" t="s">
        <v>154</v>
      </c>
    </row>
    <row r="29" spans="1:13" ht="16.5" customHeight="1" x14ac:dyDescent="0.25">
      <c r="A29" s="120">
        <v>0.8</v>
      </c>
      <c r="B29" s="125" t="s">
        <v>24</v>
      </c>
      <c r="C29" s="126">
        <v>742.12</v>
      </c>
      <c r="D29" s="123">
        <f t="shared" si="1"/>
        <v>593.70000000000005</v>
      </c>
      <c r="E29" s="122">
        <f t="shared" si="2"/>
        <v>148.41999999999996</v>
      </c>
      <c r="F29" s="122">
        <f t="shared" si="0"/>
        <v>59.369599999999998</v>
      </c>
      <c r="G29" s="127">
        <v>44239</v>
      </c>
      <c r="H29" s="115" t="s">
        <v>150</v>
      </c>
      <c r="I29" s="115" t="s">
        <v>152</v>
      </c>
    </row>
    <row r="30" spans="1:13" ht="16.5" customHeight="1" x14ac:dyDescent="0.25">
      <c r="A30" s="120">
        <v>0.8</v>
      </c>
      <c r="B30" s="121" t="s">
        <v>25</v>
      </c>
      <c r="C30" s="126">
        <v>7005.95</v>
      </c>
      <c r="D30" s="123">
        <f t="shared" si="1"/>
        <v>5604.76</v>
      </c>
      <c r="E30" s="122">
        <f t="shared" si="2"/>
        <v>1401.1899999999996</v>
      </c>
      <c r="F30" s="122">
        <f t="shared" si="0"/>
        <v>560.476</v>
      </c>
      <c r="G30" s="127">
        <v>44236</v>
      </c>
      <c r="H30" s="115" t="s">
        <v>150</v>
      </c>
      <c r="I30" s="115" t="s">
        <v>154</v>
      </c>
    </row>
    <row r="31" spans="1:13" ht="16.5" customHeight="1" x14ac:dyDescent="0.25">
      <c r="A31" s="120">
        <v>0.8</v>
      </c>
      <c r="B31" s="121" t="s">
        <v>26</v>
      </c>
      <c r="C31" s="126">
        <v>4754.7700000000004</v>
      </c>
      <c r="D31" s="123">
        <f t="shared" si="1"/>
        <v>3803.82</v>
      </c>
      <c r="E31" s="122">
        <f t="shared" si="2"/>
        <v>950.95000000000027</v>
      </c>
      <c r="F31" s="122">
        <f t="shared" si="0"/>
        <v>380.38160000000005</v>
      </c>
      <c r="G31" s="127">
        <v>44245</v>
      </c>
      <c r="H31" s="115" t="s">
        <v>150</v>
      </c>
      <c r="I31" s="115" t="s">
        <v>151</v>
      </c>
    </row>
    <row r="32" spans="1:13" ht="16.5" customHeight="1" x14ac:dyDescent="0.25">
      <c r="A32" s="120">
        <v>0.8</v>
      </c>
      <c r="B32" s="121" t="s">
        <v>27</v>
      </c>
      <c r="C32" s="126">
        <v>4207.63</v>
      </c>
      <c r="D32" s="123">
        <f t="shared" si="1"/>
        <v>3366.1</v>
      </c>
      <c r="E32" s="122">
        <f t="shared" si="2"/>
        <v>841.5300000000002</v>
      </c>
      <c r="F32" s="122">
        <f t="shared" si="0"/>
        <v>336.61040000000003</v>
      </c>
      <c r="G32" s="127">
        <v>44239</v>
      </c>
      <c r="H32" s="115" t="s">
        <v>150</v>
      </c>
      <c r="I32" s="115" t="s">
        <v>151</v>
      </c>
    </row>
    <row r="33" spans="1:10" ht="16.5" customHeight="1" x14ac:dyDescent="0.25">
      <c r="A33" s="120">
        <v>0.8</v>
      </c>
      <c r="B33" s="121" t="s">
        <v>28</v>
      </c>
      <c r="C33" s="126">
        <v>1394.86</v>
      </c>
      <c r="D33" s="123">
        <f t="shared" si="1"/>
        <v>1115.8900000000001</v>
      </c>
      <c r="E33" s="122">
        <f t="shared" si="2"/>
        <v>278.9699999999998</v>
      </c>
      <c r="F33" s="122">
        <f t="shared" si="0"/>
        <v>111.58879999999999</v>
      </c>
      <c r="G33" s="127">
        <v>44235</v>
      </c>
      <c r="H33" s="115" t="s">
        <v>158</v>
      </c>
      <c r="I33" s="115" t="s">
        <v>151</v>
      </c>
    </row>
    <row r="34" spans="1:10" ht="16.5" customHeight="1" x14ac:dyDescent="0.25">
      <c r="A34" s="120">
        <v>0.8</v>
      </c>
      <c r="B34" s="121" t="s">
        <v>29</v>
      </c>
      <c r="C34" s="126">
        <v>1119.18</v>
      </c>
      <c r="D34" s="123">
        <f t="shared" si="1"/>
        <v>895.34</v>
      </c>
      <c r="E34" s="122">
        <f t="shared" si="2"/>
        <v>223.84000000000003</v>
      </c>
      <c r="F34" s="122">
        <f t="shared" si="0"/>
        <v>89.534400000000005</v>
      </c>
      <c r="G34" s="127">
        <v>44236</v>
      </c>
      <c r="H34" s="115" t="s">
        <v>150</v>
      </c>
      <c r="I34" s="115" t="s">
        <v>152</v>
      </c>
    </row>
    <row r="35" spans="1:10" ht="16.5" customHeight="1" x14ac:dyDescent="0.25">
      <c r="A35" s="120">
        <v>0.8</v>
      </c>
      <c r="B35" s="121" t="s">
        <v>102</v>
      </c>
      <c r="C35" s="122">
        <v>4501.74</v>
      </c>
      <c r="D35" s="123">
        <f t="shared" si="1"/>
        <v>3601.39</v>
      </c>
      <c r="E35" s="122">
        <f t="shared" si="2"/>
        <v>900.34999999999991</v>
      </c>
      <c r="F35" s="122">
        <f t="shared" si="0"/>
        <v>360.13920000000002</v>
      </c>
      <c r="G35" s="127">
        <v>44232</v>
      </c>
      <c r="H35" s="115" t="s">
        <v>158</v>
      </c>
      <c r="I35" s="115" t="s">
        <v>151</v>
      </c>
    </row>
    <row r="36" spans="1:10" ht="16.5" customHeight="1" x14ac:dyDescent="0.25">
      <c r="A36" s="120">
        <v>0.8</v>
      </c>
      <c r="B36" s="121" t="s">
        <v>31</v>
      </c>
      <c r="C36" s="126">
        <v>2737.48</v>
      </c>
      <c r="D36" s="123">
        <f t="shared" si="1"/>
        <v>2189.98</v>
      </c>
      <c r="E36" s="122">
        <f t="shared" si="2"/>
        <v>547.5</v>
      </c>
      <c r="F36" s="122">
        <f t="shared" si="0"/>
        <v>218.9984</v>
      </c>
      <c r="G36" s="127">
        <v>44232</v>
      </c>
      <c r="H36" s="115" t="s">
        <v>158</v>
      </c>
      <c r="I36" s="115" t="s">
        <v>151</v>
      </c>
    </row>
    <row r="37" spans="1:10" ht="16.5" customHeight="1" x14ac:dyDescent="0.25">
      <c r="A37" s="120">
        <v>0.8</v>
      </c>
      <c r="B37" s="121" t="s">
        <v>32</v>
      </c>
      <c r="C37" s="126">
        <v>2279.9899999999998</v>
      </c>
      <c r="D37" s="123">
        <f t="shared" si="1"/>
        <v>1823.99</v>
      </c>
      <c r="E37" s="122">
        <f t="shared" si="2"/>
        <v>455.99999999999977</v>
      </c>
      <c r="F37" s="122">
        <f t="shared" si="0"/>
        <v>182.39919999999998</v>
      </c>
      <c r="G37" s="127">
        <v>44235</v>
      </c>
      <c r="H37" s="115" t="s">
        <v>158</v>
      </c>
      <c r="I37" s="115" t="s">
        <v>152</v>
      </c>
    </row>
    <row r="38" spans="1:10" ht="16.5" customHeight="1" x14ac:dyDescent="0.25">
      <c r="A38" s="132"/>
      <c r="B38" s="48" t="s">
        <v>160</v>
      </c>
      <c r="C38" s="48">
        <f>SUM(C22:C37)</f>
        <v>47063.34</v>
      </c>
      <c r="D38" s="48">
        <f>SUM(D22:D37)</f>
        <v>37650.170000000006</v>
      </c>
      <c r="E38" s="48">
        <f>SUM(E22:E37)</f>
        <v>9413.17</v>
      </c>
      <c r="F38" s="48">
        <f t="shared" si="0"/>
        <v>3765.0672</v>
      </c>
      <c r="G38" s="133"/>
      <c r="H38" s="115"/>
      <c r="I38" s="115"/>
    </row>
    <row r="39" spans="1:10" ht="16.5" customHeight="1" x14ac:dyDescent="0.25">
      <c r="A39" s="120">
        <v>1</v>
      </c>
      <c r="B39" s="121" t="s">
        <v>33</v>
      </c>
      <c r="C39" s="122">
        <v>2106.02</v>
      </c>
      <c r="D39" s="123">
        <f>ROUND(C39*A39,2)</f>
        <v>2106.02</v>
      </c>
      <c r="E39" s="122">
        <f>C39-D39</f>
        <v>0</v>
      </c>
      <c r="F39" s="122">
        <f t="shared" si="0"/>
        <v>168.48160000000001</v>
      </c>
      <c r="G39" s="127">
        <v>44236</v>
      </c>
      <c r="H39" s="115" t="s">
        <v>158</v>
      </c>
      <c r="I39" s="115" t="s">
        <v>161</v>
      </c>
    </row>
    <row r="40" spans="1:10" ht="16.5" customHeight="1" x14ac:dyDescent="0.25">
      <c r="A40" s="120">
        <v>1</v>
      </c>
      <c r="B40" s="121" t="s">
        <v>34</v>
      </c>
      <c r="C40" s="126">
        <v>2848.74</v>
      </c>
      <c r="D40" s="123">
        <f t="shared" si="1"/>
        <v>2848.74</v>
      </c>
      <c r="E40" s="122">
        <f t="shared" si="2"/>
        <v>0</v>
      </c>
      <c r="F40" s="122">
        <f t="shared" si="0"/>
        <v>227.89919999999998</v>
      </c>
      <c r="G40" s="127">
        <v>44235</v>
      </c>
      <c r="H40" s="115" t="s">
        <v>158</v>
      </c>
      <c r="I40" s="115" t="s">
        <v>161</v>
      </c>
    </row>
    <row r="41" spans="1:10" ht="16.5" customHeight="1" x14ac:dyDescent="0.25">
      <c r="A41" s="120">
        <v>1</v>
      </c>
      <c r="B41" s="125" t="s">
        <v>16</v>
      </c>
      <c r="C41" s="126">
        <v>0.72</v>
      </c>
      <c r="D41" s="123">
        <f t="shared" si="1"/>
        <v>0.72</v>
      </c>
      <c r="E41" s="122">
        <f t="shared" si="2"/>
        <v>0</v>
      </c>
      <c r="F41" s="122">
        <f t="shared" si="0"/>
        <v>5.7599999999999998E-2</v>
      </c>
      <c r="G41" s="124">
        <v>44232</v>
      </c>
      <c r="H41" s="115" t="s">
        <v>158</v>
      </c>
      <c r="I41" s="115" t="s">
        <v>161</v>
      </c>
    </row>
    <row r="42" spans="1:10" ht="16.5" customHeight="1" x14ac:dyDescent="0.25">
      <c r="A42" s="120">
        <v>1</v>
      </c>
      <c r="B42" s="121" t="s">
        <v>35</v>
      </c>
      <c r="C42" s="126">
        <v>51.27</v>
      </c>
      <c r="D42" s="123">
        <f t="shared" si="1"/>
        <v>51.27</v>
      </c>
      <c r="E42" s="122">
        <f t="shared" si="2"/>
        <v>0</v>
      </c>
      <c r="F42" s="122">
        <f t="shared" si="0"/>
        <v>4.1016000000000004</v>
      </c>
      <c r="G42" s="127">
        <v>44232</v>
      </c>
      <c r="H42" s="115" t="s">
        <v>158</v>
      </c>
      <c r="I42" s="115" t="s">
        <v>161</v>
      </c>
    </row>
    <row r="43" spans="1:10" ht="16.5" customHeight="1" x14ac:dyDescent="0.25">
      <c r="A43" s="120">
        <v>1</v>
      </c>
      <c r="B43" s="121" t="s">
        <v>37</v>
      </c>
      <c r="C43" s="126">
        <v>1533.01</v>
      </c>
      <c r="D43" s="123">
        <f t="shared" si="1"/>
        <v>1533.01</v>
      </c>
      <c r="E43" s="122">
        <f t="shared" si="2"/>
        <v>0</v>
      </c>
      <c r="F43" s="122">
        <f t="shared" si="0"/>
        <v>122.6408</v>
      </c>
      <c r="G43" s="127">
        <v>44235</v>
      </c>
      <c r="H43" s="115" t="s">
        <v>158</v>
      </c>
      <c r="I43" s="115" t="s">
        <v>161</v>
      </c>
    </row>
    <row r="44" spans="1:10" ht="16.5" customHeight="1" x14ac:dyDescent="0.25">
      <c r="A44" s="120">
        <v>1</v>
      </c>
      <c r="B44" s="121" t="s">
        <v>38</v>
      </c>
      <c r="C44" s="126">
        <v>3069.82</v>
      </c>
      <c r="D44" s="123">
        <f t="shared" si="1"/>
        <v>3069.82</v>
      </c>
      <c r="E44" s="122">
        <f t="shared" si="2"/>
        <v>0</v>
      </c>
      <c r="F44" s="122">
        <f t="shared" si="0"/>
        <v>245.58560000000003</v>
      </c>
      <c r="G44" s="127">
        <v>44236</v>
      </c>
      <c r="H44" s="115" t="s">
        <v>158</v>
      </c>
      <c r="I44" s="115" t="s">
        <v>161</v>
      </c>
    </row>
    <row r="45" spans="1:10" ht="16.5" customHeight="1" x14ac:dyDescent="0.25">
      <c r="A45" s="120">
        <v>1</v>
      </c>
      <c r="B45" s="121" t="s">
        <v>39</v>
      </c>
      <c r="C45" s="122">
        <v>6.01</v>
      </c>
      <c r="D45" s="123">
        <f t="shared" si="1"/>
        <v>6.01</v>
      </c>
      <c r="E45" s="122">
        <f t="shared" si="2"/>
        <v>0</v>
      </c>
      <c r="F45" s="122">
        <f t="shared" si="0"/>
        <v>0.48080000000000001</v>
      </c>
      <c r="G45" s="127">
        <v>44232</v>
      </c>
      <c r="H45" s="115" t="s">
        <v>158</v>
      </c>
      <c r="I45" s="115" t="s">
        <v>161</v>
      </c>
      <c r="J45" s="94"/>
    </row>
    <row r="46" spans="1:10" ht="16.5" customHeight="1" x14ac:dyDescent="0.25">
      <c r="A46" s="120">
        <v>1</v>
      </c>
      <c r="B46" s="121" t="s">
        <v>40</v>
      </c>
      <c r="C46" s="126">
        <v>9.76</v>
      </c>
      <c r="D46" s="123">
        <f t="shared" si="1"/>
        <v>9.76</v>
      </c>
      <c r="E46" s="122">
        <f t="shared" si="2"/>
        <v>0</v>
      </c>
      <c r="F46" s="122">
        <f t="shared" si="0"/>
        <v>0.78080000000000005</v>
      </c>
      <c r="G46" s="127">
        <v>44232</v>
      </c>
      <c r="H46" s="115" t="s">
        <v>158</v>
      </c>
      <c r="I46" s="115" t="s">
        <v>161</v>
      </c>
    </row>
    <row r="47" spans="1:10" ht="16.5" customHeight="1" x14ac:dyDescent="0.25">
      <c r="A47" s="120">
        <v>1</v>
      </c>
      <c r="B47" s="121" t="s">
        <v>41</v>
      </c>
      <c r="C47" s="126">
        <v>1031.99</v>
      </c>
      <c r="D47" s="123">
        <f t="shared" si="1"/>
        <v>1031.99</v>
      </c>
      <c r="E47" s="122">
        <f t="shared" si="2"/>
        <v>0</v>
      </c>
      <c r="F47" s="122">
        <f t="shared" si="0"/>
        <v>82.559200000000004</v>
      </c>
      <c r="G47" s="127">
        <v>44235</v>
      </c>
      <c r="H47" s="115" t="s">
        <v>158</v>
      </c>
      <c r="I47" s="115" t="s">
        <v>161</v>
      </c>
    </row>
    <row r="48" spans="1:10" ht="16.5" customHeight="1" x14ac:dyDescent="0.25">
      <c r="A48" s="120">
        <v>1</v>
      </c>
      <c r="B48" s="121" t="s">
        <v>42</v>
      </c>
      <c r="C48" s="126">
        <v>1532.97</v>
      </c>
      <c r="D48" s="123">
        <f t="shared" si="1"/>
        <v>1532.97</v>
      </c>
      <c r="E48" s="122">
        <f t="shared" si="2"/>
        <v>0</v>
      </c>
      <c r="F48" s="122">
        <f t="shared" si="0"/>
        <v>122.63760000000001</v>
      </c>
      <c r="G48" s="127">
        <v>44235</v>
      </c>
      <c r="H48" s="115" t="s">
        <v>158</v>
      </c>
      <c r="I48" s="115" t="s">
        <v>161</v>
      </c>
    </row>
    <row r="49" spans="1:9" ht="16.5" customHeight="1" x14ac:dyDescent="0.25">
      <c r="A49" s="120">
        <v>1</v>
      </c>
      <c r="B49" s="121" t="s">
        <v>43</v>
      </c>
      <c r="C49" s="126">
        <v>102.54</v>
      </c>
      <c r="D49" s="123">
        <f t="shared" si="1"/>
        <v>102.54</v>
      </c>
      <c r="E49" s="122">
        <f t="shared" si="2"/>
        <v>0</v>
      </c>
      <c r="F49" s="122">
        <f t="shared" si="0"/>
        <v>8.2032000000000007</v>
      </c>
      <c r="G49" s="127">
        <v>44232</v>
      </c>
      <c r="H49" s="115" t="s">
        <v>158</v>
      </c>
      <c r="I49" s="115" t="s">
        <v>161</v>
      </c>
    </row>
    <row r="50" spans="1:9" ht="16.5" customHeight="1" x14ac:dyDescent="0.25">
      <c r="A50" s="120">
        <v>1</v>
      </c>
      <c r="B50" s="121" t="s">
        <v>44</v>
      </c>
      <c r="C50" s="126">
        <v>5.63</v>
      </c>
      <c r="D50" s="123">
        <f>ROUND(C50*A50,2)</f>
        <v>5.63</v>
      </c>
      <c r="E50" s="122">
        <f>C50-D50</f>
        <v>0</v>
      </c>
      <c r="F50" s="122">
        <f t="shared" si="0"/>
        <v>0.45040000000000002</v>
      </c>
      <c r="G50" s="127">
        <v>44232</v>
      </c>
      <c r="H50" s="115" t="s">
        <v>158</v>
      </c>
      <c r="I50" s="115" t="s">
        <v>161</v>
      </c>
    </row>
    <row r="51" spans="1:9" ht="16.5" customHeight="1" x14ac:dyDescent="0.25">
      <c r="A51" s="120">
        <v>1</v>
      </c>
      <c r="B51" s="121" t="s">
        <v>45</v>
      </c>
      <c r="C51" s="126">
        <v>3551.71</v>
      </c>
      <c r="D51" s="123">
        <f t="shared" si="1"/>
        <v>3551.71</v>
      </c>
      <c r="E51" s="122">
        <f t="shared" si="2"/>
        <v>0</v>
      </c>
      <c r="F51" s="122">
        <f t="shared" si="0"/>
        <v>284.13679999999999</v>
      </c>
      <c r="G51" s="127">
        <v>44235</v>
      </c>
      <c r="H51" s="115" t="s">
        <v>158</v>
      </c>
      <c r="I51" s="115" t="s">
        <v>161</v>
      </c>
    </row>
    <row r="52" spans="1:9" ht="16.5" customHeight="1" x14ac:dyDescent="0.25">
      <c r="A52" s="120">
        <v>1</v>
      </c>
      <c r="B52" s="121" t="s">
        <v>46</v>
      </c>
      <c r="C52" s="126">
        <v>5.28</v>
      </c>
      <c r="D52" s="123">
        <f t="shared" si="1"/>
        <v>5.28</v>
      </c>
      <c r="E52" s="122">
        <f t="shared" si="2"/>
        <v>0</v>
      </c>
      <c r="F52" s="122">
        <f t="shared" si="0"/>
        <v>0.42240000000000005</v>
      </c>
      <c r="G52" s="127">
        <v>44232</v>
      </c>
      <c r="H52" s="115" t="s">
        <v>158</v>
      </c>
      <c r="I52" s="115" t="s">
        <v>161</v>
      </c>
    </row>
    <row r="53" spans="1:9" ht="16.5" customHeight="1" x14ac:dyDescent="0.25">
      <c r="A53" s="120">
        <v>1</v>
      </c>
      <c r="B53" s="121" t="s">
        <v>47</v>
      </c>
      <c r="C53" s="126">
        <v>6.63</v>
      </c>
      <c r="D53" s="123">
        <f t="shared" si="1"/>
        <v>6.63</v>
      </c>
      <c r="E53" s="122">
        <f t="shared" si="2"/>
        <v>0</v>
      </c>
      <c r="F53" s="122">
        <f t="shared" si="0"/>
        <v>0.53039999999999998</v>
      </c>
      <c r="G53" s="124">
        <v>44232</v>
      </c>
      <c r="H53" s="115" t="s">
        <v>158</v>
      </c>
      <c r="I53" s="115" t="s">
        <v>161</v>
      </c>
    </row>
    <row r="54" spans="1:9" ht="16.5" customHeight="1" x14ac:dyDescent="0.25">
      <c r="A54" s="120">
        <v>1</v>
      </c>
      <c r="B54" s="121" t="s">
        <v>48</v>
      </c>
      <c r="C54" s="126">
        <v>5.28</v>
      </c>
      <c r="D54" s="123">
        <f t="shared" si="1"/>
        <v>5.28</v>
      </c>
      <c r="E54" s="122">
        <f t="shared" si="2"/>
        <v>0</v>
      </c>
      <c r="F54" s="122">
        <f t="shared" si="0"/>
        <v>0.42240000000000005</v>
      </c>
      <c r="G54" s="127">
        <v>44232</v>
      </c>
      <c r="H54" s="115" t="s">
        <v>158</v>
      </c>
      <c r="I54" s="115" t="s">
        <v>161</v>
      </c>
    </row>
    <row r="55" spans="1:9" ht="16.5" customHeight="1" x14ac:dyDescent="0.25">
      <c r="A55" s="120">
        <v>1</v>
      </c>
      <c r="B55" s="121" t="s">
        <v>50</v>
      </c>
      <c r="C55" s="126">
        <v>1529.21</v>
      </c>
      <c r="D55" s="123">
        <f t="shared" si="1"/>
        <v>1529.21</v>
      </c>
      <c r="E55" s="122">
        <f t="shared" si="2"/>
        <v>0</v>
      </c>
      <c r="F55" s="122">
        <f t="shared" si="0"/>
        <v>122.33680000000001</v>
      </c>
      <c r="G55" s="127">
        <v>44232</v>
      </c>
      <c r="H55" s="115" t="s">
        <v>158</v>
      </c>
      <c r="I55" s="115" t="s">
        <v>161</v>
      </c>
    </row>
    <row r="56" spans="1:9" ht="16.5" customHeight="1" x14ac:dyDescent="0.25">
      <c r="A56" s="120">
        <v>1</v>
      </c>
      <c r="B56" s="121" t="s">
        <v>51</v>
      </c>
      <c r="C56" s="126">
        <v>55.75</v>
      </c>
      <c r="D56" s="123">
        <f>ROUND(C56*A56,2)</f>
        <v>55.75</v>
      </c>
      <c r="E56" s="122">
        <f>C56-D56</f>
        <v>0</v>
      </c>
      <c r="F56" s="122">
        <f t="shared" si="0"/>
        <v>4.46</v>
      </c>
      <c r="G56" s="127">
        <v>44232</v>
      </c>
      <c r="H56" s="115" t="s">
        <v>158</v>
      </c>
      <c r="I56" s="115" t="s">
        <v>161</v>
      </c>
    </row>
    <row r="57" spans="1:9" ht="16.5" customHeight="1" x14ac:dyDescent="0.25">
      <c r="A57" s="120">
        <v>1</v>
      </c>
      <c r="B57" s="121" t="s">
        <v>52</v>
      </c>
      <c r="C57" s="126">
        <v>54.63</v>
      </c>
      <c r="D57" s="123">
        <f>ROUND(C57*A57,2)</f>
        <v>54.63</v>
      </c>
      <c r="E57" s="122">
        <f>C57-D57</f>
        <v>0</v>
      </c>
      <c r="F57" s="122">
        <f t="shared" si="0"/>
        <v>4.3704000000000001</v>
      </c>
      <c r="G57" s="127">
        <v>44232</v>
      </c>
      <c r="H57" s="115" t="s">
        <v>158</v>
      </c>
      <c r="I57" s="115" t="s">
        <v>161</v>
      </c>
    </row>
    <row r="58" spans="1:9" ht="16.5" customHeight="1" x14ac:dyDescent="0.25">
      <c r="A58" s="120">
        <v>1</v>
      </c>
      <c r="B58" s="121" t="s">
        <v>53</v>
      </c>
      <c r="C58" s="126">
        <v>2434.9</v>
      </c>
      <c r="D58" s="123">
        <f t="shared" si="1"/>
        <v>2434.9</v>
      </c>
      <c r="E58" s="122">
        <f t="shared" si="2"/>
        <v>0</v>
      </c>
      <c r="F58" s="122">
        <f t="shared" si="0"/>
        <v>194.792</v>
      </c>
      <c r="G58" s="127">
        <v>44236</v>
      </c>
      <c r="H58" s="115" t="s">
        <v>158</v>
      </c>
      <c r="I58" s="115" t="s">
        <v>161</v>
      </c>
    </row>
    <row r="59" spans="1:9" ht="16.5" customHeight="1" x14ac:dyDescent="0.25">
      <c r="A59" s="120">
        <v>1</v>
      </c>
      <c r="B59" s="121" t="s">
        <v>54</v>
      </c>
      <c r="C59" s="126">
        <v>9.9600000000000009</v>
      </c>
      <c r="D59" s="123">
        <f t="shared" si="1"/>
        <v>9.9600000000000009</v>
      </c>
      <c r="E59" s="122">
        <f t="shared" si="2"/>
        <v>0</v>
      </c>
      <c r="F59" s="122">
        <f t="shared" si="0"/>
        <v>0.79680000000000006</v>
      </c>
      <c r="G59" s="127">
        <v>44232</v>
      </c>
      <c r="H59" s="115" t="s">
        <v>158</v>
      </c>
      <c r="I59" s="115" t="s">
        <v>161</v>
      </c>
    </row>
    <row r="60" spans="1:9" ht="16.5" customHeight="1" x14ac:dyDescent="0.25">
      <c r="A60" s="120">
        <v>1</v>
      </c>
      <c r="B60" s="121" t="s">
        <v>55</v>
      </c>
      <c r="C60" s="126">
        <v>4.33</v>
      </c>
      <c r="D60" s="123">
        <f t="shared" si="1"/>
        <v>4.33</v>
      </c>
      <c r="E60" s="122">
        <f t="shared" si="2"/>
        <v>0</v>
      </c>
      <c r="F60" s="122">
        <f t="shared" si="0"/>
        <v>0.34639999999999999</v>
      </c>
      <c r="G60" s="127">
        <v>44232</v>
      </c>
      <c r="H60" s="115" t="s">
        <v>158</v>
      </c>
      <c r="I60" s="115" t="s">
        <v>161</v>
      </c>
    </row>
    <row r="61" spans="1:9" ht="16.5" customHeight="1" x14ac:dyDescent="0.25">
      <c r="A61" s="120">
        <v>1</v>
      </c>
      <c r="B61" s="121" t="s">
        <v>56</v>
      </c>
      <c r="C61" s="122">
        <v>0.53</v>
      </c>
      <c r="D61" s="123">
        <f>ROUND(C61*A61,2)</f>
        <v>0.53</v>
      </c>
      <c r="E61" s="122">
        <f>C61-D61</f>
        <v>0</v>
      </c>
      <c r="F61" s="122">
        <f t="shared" si="0"/>
        <v>4.24E-2</v>
      </c>
      <c r="G61" s="127">
        <v>44232</v>
      </c>
      <c r="H61" s="115" t="s">
        <v>158</v>
      </c>
      <c r="I61" s="115" t="s">
        <v>161</v>
      </c>
    </row>
    <row r="62" spans="1:9" ht="16.5" customHeight="1" x14ac:dyDescent="0.25">
      <c r="A62" s="120">
        <v>1</v>
      </c>
      <c r="B62" s="121" t="s">
        <v>57</v>
      </c>
      <c r="C62" s="126">
        <v>4.1500000000000004</v>
      </c>
      <c r="D62" s="123">
        <f t="shared" si="1"/>
        <v>4.1500000000000004</v>
      </c>
      <c r="E62" s="122">
        <f t="shared" si="2"/>
        <v>0</v>
      </c>
      <c r="F62" s="122">
        <f t="shared" si="0"/>
        <v>0.33200000000000002</v>
      </c>
      <c r="G62" s="127">
        <v>44232</v>
      </c>
      <c r="H62" s="115" t="s">
        <v>158</v>
      </c>
      <c r="I62" s="115" t="s">
        <v>161</v>
      </c>
    </row>
    <row r="63" spans="1:9" ht="16.5" customHeight="1" x14ac:dyDescent="0.25">
      <c r="A63" s="120">
        <v>1</v>
      </c>
      <c r="B63" s="121" t="s">
        <v>58</v>
      </c>
      <c r="C63" s="126">
        <v>3.87</v>
      </c>
      <c r="D63" s="123">
        <f t="shared" si="1"/>
        <v>3.87</v>
      </c>
      <c r="E63" s="122">
        <f t="shared" si="2"/>
        <v>0</v>
      </c>
      <c r="F63" s="122">
        <f t="shared" si="0"/>
        <v>0.30960000000000004</v>
      </c>
      <c r="G63" s="127">
        <v>44232</v>
      </c>
      <c r="H63" s="115" t="s">
        <v>158</v>
      </c>
      <c r="I63" s="115" t="s">
        <v>161</v>
      </c>
    </row>
    <row r="64" spans="1:9" s="95" customFormat="1" ht="16.5" customHeight="1" x14ac:dyDescent="0.25">
      <c r="A64" s="120">
        <v>1</v>
      </c>
      <c r="B64" s="121" t="s">
        <v>59</v>
      </c>
      <c r="C64" s="126">
        <v>4.68</v>
      </c>
      <c r="D64" s="123">
        <f>ROUND(C64*A64,2)</f>
        <v>4.68</v>
      </c>
      <c r="E64" s="122">
        <f>C64-D64</f>
        <v>0</v>
      </c>
      <c r="F64" s="122">
        <f t="shared" si="0"/>
        <v>0.37440000000000001</v>
      </c>
      <c r="G64" s="127">
        <v>44232</v>
      </c>
      <c r="H64" s="115" t="s">
        <v>158</v>
      </c>
      <c r="I64" s="115" t="s">
        <v>161</v>
      </c>
    </row>
    <row r="65" spans="1:9" ht="16.5" customHeight="1" x14ac:dyDescent="0.25">
      <c r="A65" s="120">
        <v>1</v>
      </c>
      <c r="B65" s="121" t="s">
        <v>60</v>
      </c>
      <c r="C65" s="126">
        <v>4.68</v>
      </c>
      <c r="D65" s="123">
        <f>ROUND(C65*A65,2)</f>
        <v>4.68</v>
      </c>
      <c r="E65" s="122">
        <f>C65-D65</f>
        <v>0</v>
      </c>
      <c r="F65" s="122">
        <f t="shared" si="0"/>
        <v>0.37440000000000001</v>
      </c>
      <c r="G65" s="127">
        <v>44232</v>
      </c>
      <c r="H65" s="115" t="s">
        <v>158</v>
      </c>
      <c r="I65" s="115" t="s">
        <v>161</v>
      </c>
    </row>
    <row r="66" spans="1:9" ht="16.5" customHeight="1" x14ac:dyDescent="0.25">
      <c r="A66" s="120">
        <v>1</v>
      </c>
      <c r="B66" s="121" t="s">
        <v>61</v>
      </c>
      <c r="C66" s="126">
        <v>54.11</v>
      </c>
      <c r="D66" s="123">
        <f t="shared" si="1"/>
        <v>54.11</v>
      </c>
      <c r="E66" s="122">
        <f t="shared" ref="E66:E104" si="3">C66-D66</f>
        <v>0</v>
      </c>
      <c r="F66" s="122">
        <f t="shared" si="0"/>
        <v>4.3288000000000002</v>
      </c>
      <c r="G66" s="127">
        <v>44232</v>
      </c>
      <c r="H66" s="115" t="s">
        <v>158</v>
      </c>
      <c r="I66" s="115" t="s">
        <v>161</v>
      </c>
    </row>
    <row r="67" spans="1:9" ht="16.5" customHeight="1" x14ac:dyDescent="0.25">
      <c r="A67" s="120">
        <v>1</v>
      </c>
      <c r="B67" s="121" t="s">
        <v>62</v>
      </c>
      <c r="C67" s="126">
        <v>2.85</v>
      </c>
      <c r="D67" s="123">
        <f t="shared" si="1"/>
        <v>2.85</v>
      </c>
      <c r="E67" s="122">
        <f t="shared" si="3"/>
        <v>0</v>
      </c>
      <c r="F67" s="122">
        <f t="shared" si="0"/>
        <v>0.22800000000000001</v>
      </c>
      <c r="G67" s="127">
        <v>44232</v>
      </c>
      <c r="H67" s="115" t="s">
        <v>158</v>
      </c>
      <c r="I67" s="115" t="s">
        <v>161</v>
      </c>
    </row>
    <row r="68" spans="1:9" ht="16.5" customHeight="1" x14ac:dyDescent="0.25">
      <c r="A68" s="120">
        <v>1</v>
      </c>
      <c r="B68" s="121" t="s">
        <v>64</v>
      </c>
      <c r="C68" s="126">
        <v>10.79</v>
      </c>
      <c r="D68" s="123">
        <f t="shared" si="1"/>
        <v>10.79</v>
      </c>
      <c r="E68" s="122">
        <f t="shared" si="3"/>
        <v>0</v>
      </c>
      <c r="F68" s="122">
        <f t="shared" si="0"/>
        <v>0.86319999999999997</v>
      </c>
      <c r="G68" s="127">
        <v>44232</v>
      </c>
      <c r="H68" s="115" t="s">
        <v>158</v>
      </c>
      <c r="I68" s="115" t="s">
        <v>161</v>
      </c>
    </row>
    <row r="69" spans="1:9" ht="16.5" customHeight="1" x14ac:dyDescent="0.25">
      <c r="A69" s="120">
        <v>1</v>
      </c>
      <c r="B69" s="121" t="s">
        <v>65</v>
      </c>
      <c r="C69" s="126">
        <v>884.49</v>
      </c>
      <c r="D69" s="123">
        <f t="shared" si="1"/>
        <v>884.49</v>
      </c>
      <c r="E69" s="122">
        <f t="shared" si="3"/>
        <v>0</v>
      </c>
      <c r="F69" s="122">
        <f t="shared" si="0"/>
        <v>70.759200000000007</v>
      </c>
      <c r="G69" s="127">
        <v>44232</v>
      </c>
      <c r="H69" s="115" t="s">
        <v>158</v>
      </c>
      <c r="I69" s="115" t="s">
        <v>161</v>
      </c>
    </row>
    <row r="70" spans="1:9" ht="16.5" customHeight="1" x14ac:dyDescent="0.25">
      <c r="A70" s="120">
        <v>1</v>
      </c>
      <c r="B70" s="121" t="s">
        <v>66</v>
      </c>
      <c r="C70" s="126">
        <v>1061.5999999999999</v>
      </c>
      <c r="D70" s="123">
        <f t="shared" si="1"/>
        <v>1061.5999999999999</v>
      </c>
      <c r="E70" s="122">
        <f t="shared" si="3"/>
        <v>0</v>
      </c>
      <c r="F70" s="122">
        <f t="shared" ref="F70:F106" si="4">C70*8%</f>
        <v>84.927999999999997</v>
      </c>
      <c r="G70" s="127">
        <v>44236</v>
      </c>
      <c r="H70" s="115" t="s">
        <v>158</v>
      </c>
      <c r="I70" s="115" t="s">
        <v>161</v>
      </c>
    </row>
    <row r="71" spans="1:9" ht="16.5" customHeight="1" x14ac:dyDescent="0.25">
      <c r="A71" s="120">
        <v>1</v>
      </c>
      <c r="B71" s="121" t="s">
        <v>67</v>
      </c>
      <c r="C71" s="126">
        <v>766.96</v>
      </c>
      <c r="D71" s="123">
        <f t="shared" ref="D71:D104" si="5">ROUND(C71*A71,2)</f>
        <v>766.96</v>
      </c>
      <c r="E71" s="122">
        <f t="shared" si="3"/>
        <v>0</v>
      </c>
      <c r="F71" s="122">
        <f t="shared" si="4"/>
        <v>61.356800000000007</v>
      </c>
      <c r="G71" s="127">
        <v>44232</v>
      </c>
      <c r="H71" s="115" t="s">
        <v>158</v>
      </c>
      <c r="I71" s="115" t="s">
        <v>161</v>
      </c>
    </row>
    <row r="72" spans="1:9" ht="16.5" customHeight="1" x14ac:dyDescent="0.25">
      <c r="A72" s="120">
        <v>1</v>
      </c>
      <c r="B72" s="121" t="s">
        <v>68</v>
      </c>
      <c r="C72" s="126">
        <v>1266.4100000000001</v>
      </c>
      <c r="D72" s="123">
        <f t="shared" si="5"/>
        <v>1266.4100000000001</v>
      </c>
      <c r="E72" s="122">
        <f t="shared" si="3"/>
        <v>0</v>
      </c>
      <c r="F72" s="122">
        <f t="shared" si="4"/>
        <v>101.31280000000001</v>
      </c>
      <c r="G72" s="127">
        <v>44235</v>
      </c>
      <c r="H72" s="115" t="s">
        <v>158</v>
      </c>
      <c r="I72" s="115" t="s">
        <v>161</v>
      </c>
    </row>
    <row r="73" spans="1:9" ht="16.5" customHeight="1" x14ac:dyDescent="0.25">
      <c r="A73" s="120">
        <v>1</v>
      </c>
      <c r="B73" s="121" t="s">
        <v>70</v>
      </c>
      <c r="C73" s="126">
        <v>0.53</v>
      </c>
      <c r="D73" s="123">
        <f>ROUND(C73*A73,2)</f>
        <v>0.53</v>
      </c>
      <c r="E73" s="122">
        <f>C73-D73</f>
        <v>0</v>
      </c>
      <c r="F73" s="122">
        <f t="shared" si="4"/>
        <v>4.24E-2</v>
      </c>
      <c r="G73" s="124">
        <v>44232</v>
      </c>
      <c r="H73" s="115" t="s">
        <v>158</v>
      </c>
      <c r="I73" s="115" t="s">
        <v>161</v>
      </c>
    </row>
    <row r="74" spans="1:9" ht="16.5" customHeight="1" x14ac:dyDescent="0.25">
      <c r="A74" s="120">
        <v>1</v>
      </c>
      <c r="B74" s="121" t="s">
        <v>71</v>
      </c>
      <c r="C74" s="126">
        <v>2.85</v>
      </c>
      <c r="D74" s="123">
        <f t="shared" si="5"/>
        <v>2.85</v>
      </c>
      <c r="E74" s="122">
        <f t="shared" si="3"/>
        <v>0</v>
      </c>
      <c r="F74" s="122">
        <f t="shared" si="4"/>
        <v>0.22800000000000001</v>
      </c>
      <c r="G74" s="124">
        <v>44232</v>
      </c>
      <c r="H74" s="115" t="s">
        <v>158</v>
      </c>
      <c r="I74" s="115" t="s">
        <v>161</v>
      </c>
    </row>
    <row r="75" spans="1:9" ht="16.5" customHeight="1" x14ac:dyDescent="0.25">
      <c r="A75" s="120">
        <v>1</v>
      </c>
      <c r="B75" s="121" t="s">
        <v>72</v>
      </c>
      <c r="C75" s="126">
        <v>102.54</v>
      </c>
      <c r="D75" s="123">
        <f t="shared" si="5"/>
        <v>102.54</v>
      </c>
      <c r="E75" s="122">
        <f t="shared" si="3"/>
        <v>0</v>
      </c>
      <c r="F75" s="122">
        <f t="shared" si="4"/>
        <v>8.2032000000000007</v>
      </c>
      <c r="G75" s="124">
        <v>44232</v>
      </c>
      <c r="H75" s="115" t="s">
        <v>158</v>
      </c>
      <c r="I75" s="115" t="s">
        <v>151</v>
      </c>
    </row>
    <row r="76" spans="1:9" ht="16.5" customHeight="1" x14ac:dyDescent="0.25">
      <c r="A76" s="120">
        <v>1</v>
      </c>
      <c r="B76" s="121" t="s">
        <v>73</v>
      </c>
      <c r="C76" s="126">
        <v>1428.93</v>
      </c>
      <c r="D76" s="123">
        <f t="shared" si="5"/>
        <v>1428.93</v>
      </c>
      <c r="E76" s="122">
        <f t="shared" si="3"/>
        <v>0</v>
      </c>
      <c r="F76" s="122">
        <f t="shared" si="4"/>
        <v>114.31440000000001</v>
      </c>
      <c r="G76" s="124">
        <v>44235</v>
      </c>
      <c r="H76" s="115" t="s">
        <v>158</v>
      </c>
      <c r="I76" s="115" t="s">
        <v>161</v>
      </c>
    </row>
    <row r="77" spans="1:9" ht="16.5" customHeight="1" x14ac:dyDescent="0.25">
      <c r="A77" s="120">
        <v>1</v>
      </c>
      <c r="B77" s="121" t="s">
        <v>74</v>
      </c>
      <c r="C77" s="126">
        <v>3498.01</v>
      </c>
      <c r="D77" s="123">
        <f t="shared" si="5"/>
        <v>3498.01</v>
      </c>
      <c r="E77" s="122">
        <f t="shared" si="3"/>
        <v>0</v>
      </c>
      <c r="F77" s="122">
        <f t="shared" si="4"/>
        <v>279.8408</v>
      </c>
      <c r="G77" s="124">
        <v>44236</v>
      </c>
      <c r="H77" s="115" t="s">
        <v>158</v>
      </c>
      <c r="I77" s="115" t="s">
        <v>161</v>
      </c>
    </row>
    <row r="78" spans="1:9" ht="16.5" customHeight="1" x14ac:dyDescent="0.25">
      <c r="A78" s="120">
        <v>1</v>
      </c>
      <c r="B78" s="121" t="s">
        <v>75</v>
      </c>
      <c r="C78" s="126">
        <v>1153.8800000000001</v>
      </c>
      <c r="D78" s="123">
        <f t="shared" si="5"/>
        <v>1153.8800000000001</v>
      </c>
      <c r="E78" s="122">
        <f t="shared" si="3"/>
        <v>0</v>
      </c>
      <c r="F78" s="122">
        <f t="shared" si="4"/>
        <v>92.310400000000016</v>
      </c>
      <c r="G78" s="124">
        <v>44232</v>
      </c>
      <c r="H78" s="115" t="s">
        <v>158</v>
      </c>
      <c r="I78" s="115" t="s">
        <v>161</v>
      </c>
    </row>
    <row r="79" spans="1:9" ht="16.5" customHeight="1" x14ac:dyDescent="0.25">
      <c r="A79" s="120">
        <v>1</v>
      </c>
      <c r="B79" s="121" t="s">
        <v>76</v>
      </c>
      <c r="C79" s="126">
        <v>10.08</v>
      </c>
      <c r="D79" s="123">
        <f t="shared" si="5"/>
        <v>10.08</v>
      </c>
      <c r="E79" s="122">
        <f t="shared" si="3"/>
        <v>0</v>
      </c>
      <c r="F79" s="122">
        <f t="shared" si="4"/>
        <v>0.80640000000000001</v>
      </c>
      <c r="G79" s="124">
        <v>44232</v>
      </c>
      <c r="H79" s="115" t="s">
        <v>158</v>
      </c>
      <c r="I79" s="115" t="s">
        <v>161</v>
      </c>
    </row>
    <row r="80" spans="1:9" ht="16.5" customHeight="1" x14ac:dyDescent="0.25">
      <c r="A80" s="120">
        <v>1</v>
      </c>
      <c r="B80" s="121" t="s">
        <v>77</v>
      </c>
      <c r="C80" s="126">
        <v>1533.01</v>
      </c>
      <c r="D80" s="123">
        <f t="shared" si="5"/>
        <v>1533.01</v>
      </c>
      <c r="E80" s="122">
        <f t="shared" si="3"/>
        <v>0</v>
      </c>
      <c r="F80" s="122">
        <f t="shared" si="4"/>
        <v>122.6408</v>
      </c>
      <c r="G80" s="124">
        <v>44232</v>
      </c>
      <c r="H80" s="115" t="s">
        <v>158</v>
      </c>
      <c r="I80" s="115" t="s">
        <v>161</v>
      </c>
    </row>
    <row r="81" spans="1:9" ht="16.5" customHeight="1" x14ac:dyDescent="0.25">
      <c r="A81" s="120">
        <v>1</v>
      </c>
      <c r="B81" s="121" t="s">
        <v>78</v>
      </c>
      <c r="C81" s="126">
        <v>3147.25</v>
      </c>
      <c r="D81" s="123">
        <f t="shared" si="5"/>
        <v>3147.25</v>
      </c>
      <c r="E81" s="122">
        <f t="shared" si="3"/>
        <v>0</v>
      </c>
      <c r="F81" s="122">
        <f t="shared" si="4"/>
        <v>251.78</v>
      </c>
      <c r="G81" s="124">
        <v>44236</v>
      </c>
      <c r="H81" s="115" t="s">
        <v>158</v>
      </c>
      <c r="I81" s="115" t="s">
        <v>161</v>
      </c>
    </row>
    <row r="82" spans="1:9" ht="16.5" customHeight="1" x14ac:dyDescent="0.25">
      <c r="A82" s="120">
        <v>1</v>
      </c>
      <c r="B82" s="121" t="s">
        <v>79</v>
      </c>
      <c r="C82" s="126">
        <v>770.84</v>
      </c>
      <c r="D82" s="123">
        <f t="shared" si="5"/>
        <v>770.84</v>
      </c>
      <c r="E82" s="122">
        <f t="shared" si="3"/>
        <v>0</v>
      </c>
      <c r="F82" s="122">
        <f t="shared" si="4"/>
        <v>61.667200000000001</v>
      </c>
      <c r="G82" s="124">
        <v>44232</v>
      </c>
      <c r="H82" s="115" t="s">
        <v>158</v>
      </c>
      <c r="I82" s="115" t="s">
        <v>161</v>
      </c>
    </row>
    <row r="83" spans="1:9" ht="16.5" customHeight="1" x14ac:dyDescent="0.25">
      <c r="A83" s="120">
        <v>1</v>
      </c>
      <c r="B83" s="121" t="s">
        <v>80</v>
      </c>
      <c r="C83" s="126">
        <v>1911.53</v>
      </c>
      <c r="D83" s="123">
        <f t="shared" si="5"/>
        <v>1911.53</v>
      </c>
      <c r="E83" s="122">
        <f t="shared" si="3"/>
        <v>0</v>
      </c>
      <c r="F83" s="122">
        <f t="shared" si="4"/>
        <v>152.92240000000001</v>
      </c>
      <c r="G83" s="124">
        <v>44235</v>
      </c>
      <c r="H83" s="115" t="s">
        <v>158</v>
      </c>
      <c r="I83" s="115" t="s">
        <v>161</v>
      </c>
    </row>
    <row r="84" spans="1:9" ht="16.5" customHeight="1" x14ac:dyDescent="0.25">
      <c r="A84" s="120">
        <v>1</v>
      </c>
      <c r="B84" s="121" t="s">
        <v>81</v>
      </c>
      <c r="C84" s="126">
        <v>1533.17</v>
      </c>
      <c r="D84" s="123">
        <f t="shared" si="5"/>
        <v>1533.17</v>
      </c>
      <c r="E84" s="122">
        <f t="shared" si="3"/>
        <v>0</v>
      </c>
      <c r="F84" s="122">
        <f t="shared" si="4"/>
        <v>122.65360000000001</v>
      </c>
      <c r="G84" s="124">
        <v>44235</v>
      </c>
      <c r="H84" s="115" t="s">
        <v>158</v>
      </c>
      <c r="I84" s="115" t="s">
        <v>161</v>
      </c>
    </row>
    <row r="85" spans="1:9" ht="16.5" customHeight="1" x14ac:dyDescent="0.25">
      <c r="A85" s="120">
        <v>1</v>
      </c>
      <c r="B85" s="121" t="s">
        <v>82</v>
      </c>
      <c r="C85" s="126">
        <v>1533.01</v>
      </c>
      <c r="D85" s="123">
        <f t="shared" si="5"/>
        <v>1533.01</v>
      </c>
      <c r="E85" s="122">
        <f t="shared" si="3"/>
        <v>0</v>
      </c>
      <c r="F85" s="122">
        <f t="shared" si="4"/>
        <v>122.6408</v>
      </c>
      <c r="G85" s="124">
        <v>44235</v>
      </c>
      <c r="H85" s="115" t="s">
        <v>158</v>
      </c>
      <c r="I85" s="115" t="s">
        <v>161</v>
      </c>
    </row>
    <row r="86" spans="1:9" ht="16.5" customHeight="1" x14ac:dyDescent="0.25">
      <c r="A86" s="120">
        <v>1</v>
      </c>
      <c r="B86" s="121" t="s">
        <v>83</v>
      </c>
      <c r="C86" s="126">
        <v>2529.0700000000002</v>
      </c>
      <c r="D86" s="123">
        <f t="shared" si="5"/>
        <v>2529.0700000000002</v>
      </c>
      <c r="E86" s="122">
        <f t="shared" si="3"/>
        <v>0</v>
      </c>
      <c r="F86" s="122">
        <f t="shared" si="4"/>
        <v>202.32560000000001</v>
      </c>
      <c r="G86" s="124">
        <v>44235</v>
      </c>
      <c r="H86" s="115" t="s">
        <v>158</v>
      </c>
      <c r="I86" s="115" t="s">
        <v>161</v>
      </c>
    </row>
    <row r="87" spans="1:9" ht="16.5" customHeight="1" x14ac:dyDescent="0.25">
      <c r="A87" s="120">
        <v>1</v>
      </c>
      <c r="B87" s="121" t="s">
        <v>84</v>
      </c>
      <c r="C87" s="126">
        <v>51.8</v>
      </c>
      <c r="D87" s="123">
        <f t="shared" si="5"/>
        <v>51.8</v>
      </c>
      <c r="E87" s="122">
        <f t="shared" si="3"/>
        <v>0</v>
      </c>
      <c r="F87" s="122">
        <f t="shared" si="4"/>
        <v>4.1440000000000001</v>
      </c>
      <c r="G87" s="124">
        <v>44232</v>
      </c>
      <c r="H87" s="115" t="s">
        <v>158</v>
      </c>
      <c r="I87" s="115" t="s">
        <v>161</v>
      </c>
    </row>
    <row r="88" spans="1:9" ht="16.5" customHeight="1" x14ac:dyDescent="0.25">
      <c r="A88" s="120">
        <v>1</v>
      </c>
      <c r="B88" s="121" t="s">
        <v>85</v>
      </c>
      <c r="C88" s="126">
        <v>5.96</v>
      </c>
      <c r="D88" s="123">
        <f t="shared" si="5"/>
        <v>5.96</v>
      </c>
      <c r="E88" s="122">
        <f t="shared" si="3"/>
        <v>0</v>
      </c>
      <c r="F88" s="122">
        <f t="shared" si="4"/>
        <v>0.4768</v>
      </c>
      <c r="G88" s="124">
        <v>44232</v>
      </c>
      <c r="H88" s="115" t="s">
        <v>158</v>
      </c>
      <c r="I88" s="115" t="s">
        <v>161</v>
      </c>
    </row>
    <row r="89" spans="1:9" ht="16.5" customHeight="1" x14ac:dyDescent="0.25">
      <c r="A89" s="120">
        <v>1</v>
      </c>
      <c r="B89" s="121" t="s">
        <v>86</v>
      </c>
      <c r="C89" s="126">
        <v>1894.26</v>
      </c>
      <c r="D89" s="123">
        <f t="shared" si="5"/>
        <v>1894.26</v>
      </c>
      <c r="E89" s="122">
        <f t="shared" si="3"/>
        <v>0</v>
      </c>
      <c r="F89" s="122">
        <f t="shared" si="4"/>
        <v>151.54079999999999</v>
      </c>
      <c r="G89" s="124">
        <v>44235</v>
      </c>
      <c r="H89" s="115" t="s">
        <v>158</v>
      </c>
      <c r="I89" s="115" t="s">
        <v>161</v>
      </c>
    </row>
    <row r="90" spans="1:9" ht="16.5" customHeight="1" x14ac:dyDescent="0.25">
      <c r="A90" s="120">
        <v>1</v>
      </c>
      <c r="B90" s="121" t="s">
        <v>87</v>
      </c>
      <c r="C90" s="126">
        <v>0.72</v>
      </c>
      <c r="D90" s="123">
        <f t="shared" si="5"/>
        <v>0.72</v>
      </c>
      <c r="E90" s="122">
        <f t="shared" si="3"/>
        <v>0</v>
      </c>
      <c r="F90" s="122">
        <f t="shared" si="4"/>
        <v>5.7599999999999998E-2</v>
      </c>
      <c r="G90" s="124">
        <v>44232</v>
      </c>
      <c r="H90" s="115" t="s">
        <v>158</v>
      </c>
      <c r="I90" s="115" t="s">
        <v>161</v>
      </c>
    </row>
    <row r="91" spans="1:9" ht="16.5" customHeight="1" x14ac:dyDescent="0.25">
      <c r="A91" s="120">
        <v>1</v>
      </c>
      <c r="B91" s="121" t="s">
        <v>88</v>
      </c>
      <c r="C91" s="126">
        <v>102.54</v>
      </c>
      <c r="D91" s="123">
        <f t="shared" si="5"/>
        <v>102.54</v>
      </c>
      <c r="E91" s="122">
        <f t="shared" si="3"/>
        <v>0</v>
      </c>
      <c r="F91" s="122">
        <f t="shared" si="4"/>
        <v>8.2032000000000007</v>
      </c>
      <c r="G91" s="124">
        <v>44232</v>
      </c>
      <c r="H91" s="115" t="s">
        <v>158</v>
      </c>
      <c r="I91" s="115" t="s">
        <v>161</v>
      </c>
    </row>
    <row r="92" spans="1:9" ht="16.5" customHeight="1" x14ac:dyDescent="0.25">
      <c r="A92" s="120">
        <v>1</v>
      </c>
      <c r="B92" s="121" t="s">
        <v>89</v>
      </c>
      <c r="C92" s="126">
        <v>54.92</v>
      </c>
      <c r="D92" s="123">
        <f t="shared" si="5"/>
        <v>54.92</v>
      </c>
      <c r="E92" s="122">
        <f t="shared" si="3"/>
        <v>0</v>
      </c>
      <c r="F92" s="122">
        <f t="shared" si="4"/>
        <v>4.3936000000000002</v>
      </c>
      <c r="G92" s="124">
        <v>44232</v>
      </c>
      <c r="H92" s="115" t="s">
        <v>158</v>
      </c>
      <c r="I92" s="115" t="s">
        <v>161</v>
      </c>
    </row>
    <row r="93" spans="1:9" ht="16.5" customHeight="1" x14ac:dyDescent="0.25">
      <c r="A93" s="120">
        <v>1</v>
      </c>
      <c r="B93" s="121" t="s">
        <v>90</v>
      </c>
      <c r="C93" s="126">
        <v>6.65</v>
      </c>
      <c r="D93" s="123">
        <f t="shared" si="5"/>
        <v>6.65</v>
      </c>
      <c r="E93" s="122">
        <f t="shared" si="3"/>
        <v>0</v>
      </c>
      <c r="F93" s="122">
        <f t="shared" si="4"/>
        <v>0.53200000000000003</v>
      </c>
      <c r="G93" s="124">
        <v>44232</v>
      </c>
      <c r="H93" s="115" t="s">
        <v>158</v>
      </c>
      <c r="I93" s="115" t="s">
        <v>161</v>
      </c>
    </row>
    <row r="94" spans="1:9" ht="16.5" customHeight="1" x14ac:dyDescent="0.25">
      <c r="A94" s="120">
        <v>1</v>
      </c>
      <c r="B94" s="121" t="s">
        <v>91</v>
      </c>
      <c r="C94" s="126">
        <v>2.84</v>
      </c>
      <c r="D94" s="123">
        <f t="shared" si="5"/>
        <v>2.84</v>
      </c>
      <c r="E94" s="122">
        <f t="shared" si="3"/>
        <v>0</v>
      </c>
      <c r="F94" s="122">
        <f t="shared" si="4"/>
        <v>0.22719999999999999</v>
      </c>
      <c r="G94" s="124">
        <v>44232</v>
      </c>
      <c r="H94" s="115" t="s">
        <v>158</v>
      </c>
      <c r="I94" s="115" t="s">
        <v>161</v>
      </c>
    </row>
    <row r="95" spans="1:9" ht="16.5" customHeight="1" x14ac:dyDescent="0.25">
      <c r="A95" s="120">
        <v>1</v>
      </c>
      <c r="B95" s="121" t="s">
        <v>92</v>
      </c>
      <c r="C95" s="126">
        <v>2917.55</v>
      </c>
      <c r="D95" s="123">
        <f t="shared" si="5"/>
        <v>2917.55</v>
      </c>
      <c r="E95" s="122">
        <f t="shared" si="3"/>
        <v>0</v>
      </c>
      <c r="F95" s="122">
        <f t="shared" si="4"/>
        <v>233.40400000000002</v>
      </c>
      <c r="G95" s="124">
        <v>44235</v>
      </c>
      <c r="H95" s="115" t="s">
        <v>158</v>
      </c>
      <c r="I95" s="115" t="s">
        <v>151</v>
      </c>
    </row>
    <row r="96" spans="1:9" ht="16.5" customHeight="1" x14ac:dyDescent="0.25">
      <c r="A96" s="120">
        <v>1</v>
      </c>
      <c r="B96" s="121" t="s">
        <v>93</v>
      </c>
      <c r="C96" s="126">
        <v>51.27</v>
      </c>
      <c r="D96" s="123">
        <f t="shared" si="5"/>
        <v>51.27</v>
      </c>
      <c r="E96" s="122">
        <f t="shared" si="3"/>
        <v>0</v>
      </c>
      <c r="F96" s="122">
        <f t="shared" si="4"/>
        <v>4.1016000000000004</v>
      </c>
      <c r="G96" s="124">
        <v>44232</v>
      </c>
      <c r="H96" s="115" t="s">
        <v>158</v>
      </c>
      <c r="I96" s="115" t="s">
        <v>161</v>
      </c>
    </row>
    <row r="97" spans="1:9" ht="16.5" customHeight="1" x14ac:dyDescent="0.25">
      <c r="A97" s="120">
        <v>1</v>
      </c>
      <c r="B97" s="121" t="s">
        <v>94</v>
      </c>
      <c r="C97" s="126">
        <v>954.36</v>
      </c>
      <c r="D97" s="123">
        <f t="shared" si="5"/>
        <v>954.36</v>
      </c>
      <c r="E97" s="122">
        <f t="shared" si="3"/>
        <v>0</v>
      </c>
      <c r="F97" s="122">
        <f t="shared" si="4"/>
        <v>76.348799999999997</v>
      </c>
      <c r="G97" s="124">
        <v>44232</v>
      </c>
      <c r="H97" s="115" t="s">
        <v>158</v>
      </c>
      <c r="I97" s="115" t="s">
        <v>161</v>
      </c>
    </row>
    <row r="98" spans="1:9" ht="16.5" customHeight="1" x14ac:dyDescent="0.25">
      <c r="A98" s="120">
        <v>1</v>
      </c>
      <c r="B98" s="121" t="s">
        <v>95</v>
      </c>
      <c r="C98" s="126">
        <v>2917.62</v>
      </c>
      <c r="D98" s="123">
        <f t="shared" si="5"/>
        <v>2917.62</v>
      </c>
      <c r="E98" s="122">
        <f t="shared" si="3"/>
        <v>0</v>
      </c>
      <c r="F98" s="122">
        <f t="shared" si="4"/>
        <v>233.40959999999998</v>
      </c>
      <c r="G98" s="124">
        <v>44236</v>
      </c>
      <c r="H98" s="115" t="s">
        <v>158</v>
      </c>
      <c r="I98" s="115" t="s">
        <v>161</v>
      </c>
    </row>
    <row r="99" spans="1:9" ht="16.5" customHeight="1" x14ac:dyDescent="0.25">
      <c r="A99" s="120">
        <v>1</v>
      </c>
      <c r="B99" s="121" t="s">
        <v>96</v>
      </c>
      <c r="C99" s="126">
        <v>0.53</v>
      </c>
      <c r="D99" s="123">
        <f t="shared" si="5"/>
        <v>0.53</v>
      </c>
      <c r="E99" s="122">
        <f t="shared" si="3"/>
        <v>0</v>
      </c>
      <c r="F99" s="122">
        <f t="shared" si="4"/>
        <v>4.24E-2</v>
      </c>
      <c r="G99" s="124">
        <v>44232</v>
      </c>
      <c r="H99" s="115" t="s">
        <v>158</v>
      </c>
      <c r="I99" s="115" t="s">
        <v>161</v>
      </c>
    </row>
    <row r="100" spans="1:9" ht="16.5" customHeight="1" x14ac:dyDescent="0.25">
      <c r="A100" s="120">
        <v>1</v>
      </c>
      <c r="B100" s="121" t="s">
        <v>97</v>
      </c>
      <c r="C100" s="126">
        <v>2253.94</v>
      </c>
      <c r="D100" s="123">
        <f t="shared" si="5"/>
        <v>2253.94</v>
      </c>
      <c r="E100" s="122">
        <f t="shared" si="3"/>
        <v>0</v>
      </c>
      <c r="F100" s="122">
        <f t="shared" si="4"/>
        <v>180.3152</v>
      </c>
      <c r="G100" s="124">
        <v>44236</v>
      </c>
      <c r="H100" s="115" t="s">
        <v>158</v>
      </c>
      <c r="I100" s="115" t="s">
        <v>161</v>
      </c>
    </row>
    <row r="101" spans="1:9" ht="16.5" customHeight="1" x14ac:dyDescent="0.25">
      <c r="A101" s="120">
        <v>1</v>
      </c>
      <c r="B101" s="121" t="s">
        <v>98</v>
      </c>
      <c r="C101" s="126">
        <v>6632.36</v>
      </c>
      <c r="D101" s="123">
        <f t="shared" si="5"/>
        <v>6632.36</v>
      </c>
      <c r="E101" s="122">
        <f t="shared" si="3"/>
        <v>0</v>
      </c>
      <c r="F101" s="122">
        <f t="shared" si="4"/>
        <v>530.58879999999999</v>
      </c>
      <c r="G101" s="124">
        <v>44257</v>
      </c>
      <c r="H101" s="115" t="s">
        <v>150</v>
      </c>
      <c r="I101" s="115" t="s">
        <v>154</v>
      </c>
    </row>
    <row r="102" spans="1:9" ht="16.5" customHeight="1" x14ac:dyDescent="0.25">
      <c r="A102" s="120">
        <v>1</v>
      </c>
      <c r="B102" s="121" t="s">
        <v>99</v>
      </c>
      <c r="C102" s="126">
        <v>1533.01</v>
      </c>
      <c r="D102" s="123">
        <f t="shared" si="5"/>
        <v>1533.01</v>
      </c>
      <c r="E102" s="122">
        <f t="shared" si="3"/>
        <v>0</v>
      </c>
      <c r="F102" s="122">
        <f t="shared" si="4"/>
        <v>122.6408</v>
      </c>
      <c r="G102" s="124">
        <v>44235</v>
      </c>
      <c r="H102" s="115" t="s">
        <v>158</v>
      </c>
      <c r="I102" s="115" t="s">
        <v>161</v>
      </c>
    </row>
    <row r="103" spans="1:9" ht="16.5" customHeight="1" x14ac:dyDescent="0.25">
      <c r="A103" s="120">
        <v>1</v>
      </c>
      <c r="B103" s="121" t="s">
        <v>100</v>
      </c>
      <c r="C103" s="128">
        <v>1001.44</v>
      </c>
      <c r="D103" s="123">
        <f t="shared" si="5"/>
        <v>1001.44</v>
      </c>
      <c r="E103" s="122">
        <f t="shared" si="3"/>
        <v>0</v>
      </c>
      <c r="F103" s="122">
        <f t="shared" si="4"/>
        <v>80.115200000000002</v>
      </c>
      <c r="G103" s="124">
        <v>44235</v>
      </c>
      <c r="H103" s="115" t="s">
        <v>158</v>
      </c>
      <c r="I103" s="115" t="s">
        <v>161</v>
      </c>
    </row>
    <row r="104" spans="1:9" ht="16.5" customHeight="1" x14ac:dyDescent="0.25">
      <c r="A104" s="120">
        <v>1</v>
      </c>
      <c r="B104" s="121" t="s">
        <v>101</v>
      </c>
      <c r="C104" s="128">
        <v>3.07</v>
      </c>
      <c r="D104" s="123">
        <f t="shared" si="5"/>
        <v>3.07</v>
      </c>
      <c r="E104" s="122">
        <f t="shared" si="3"/>
        <v>0</v>
      </c>
      <c r="F104" s="122">
        <f t="shared" si="4"/>
        <v>0.24559999999999998</v>
      </c>
      <c r="G104" s="124">
        <v>44232</v>
      </c>
      <c r="H104" s="115" t="s">
        <v>158</v>
      </c>
      <c r="I104" s="115" t="s">
        <v>161</v>
      </c>
    </row>
    <row r="105" spans="1:9" ht="16.5" customHeight="1" x14ac:dyDescent="0.25">
      <c r="A105" s="132"/>
      <c r="B105" s="48" t="s">
        <v>162</v>
      </c>
      <c r="C105" s="48">
        <f>SUM(C39:C104)</f>
        <v>63560.820000000014</v>
      </c>
      <c r="D105" s="48">
        <f>SUM(D39:D104)</f>
        <v>63560.820000000014</v>
      </c>
      <c r="E105" s="48">
        <f>SUM(E39:E104)</f>
        <v>0</v>
      </c>
      <c r="F105" s="48">
        <f t="shared" si="4"/>
        <v>5084.865600000001</v>
      </c>
      <c r="G105" s="131"/>
      <c r="H105" s="115"/>
      <c r="I105" s="115"/>
    </row>
    <row r="106" spans="1:9" s="96" customFormat="1" ht="17.25" customHeight="1" x14ac:dyDescent="0.2">
      <c r="A106" s="134"/>
      <c r="B106" s="135" t="s">
        <v>103</v>
      </c>
      <c r="C106" s="55">
        <f>SUM(C105+C38+C21)</f>
        <v>162810.99</v>
      </c>
      <c r="D106" s="55">
        <f>SUM(D105+D38+D21)</f>
        <v>132280.75000000003</v>
      </c>
      <c r="E106" s="55">
        <f>SUM(E105+E38+E21)</f>
        <v>30530.239999999998</v>
      </c>
      <c r="F106" s="229">
        <f t="shared" si="4"/>
        <v>13024.879199999999</v>
      </c>
      <c r="G106" s="136"/>
      <c r="H106" s="119"/>
      <c r="I106" s="119"/>
    </row>
    <row r="108" spans="1:9" x14ac:dyDescent="0.25">
      <c r="B108" s="97"/>
      <c r="C108" s="97"/>
      <c r="D108" s="97"/>
      <c r="E108" s="97"/>
      <c r="F108" s="97"/>
      <c r="G108" s="98"/>
    </row>
    <row r="109" spans="1:9" x14ac:dyDescent="0.25">
      <c r="B109" s="97"/>
      <c r="C109" s="97"/>
      <c r="D109" s="97"/>
      <c r="E109" s="97"/>
      <c r="F109" s="97"/>
      <c r="G109" s="95"/>
    </row>
    <row r="110" spans="1:9" x14ac:dyDescent="0.25">
      <c r="B110" s="97"/>
      <c r="C110" s="97"/>
      <c r="D110" s="97"/>
      <c r="E110" s="97"/>
      <c r="F110" s="97"/>
      <c r="G110" s="99"/>
    </row>
    <row r="111" spans="1:9" x14ac:dyDescent="0.25">
      <c r="B111" s="97"/>
      <c r="C111" s="97"/>
      <c r="D111" s="97"/>
      <c r="E111" s="97"/>
      <c r="F111" s="97"/>
    </row>
    <row r="112" spans="1:9" x14ac:dyDescent="0.25">
      <c r="B112" s="97"/>
      <c r="C112" s="97"/>
      <c r="D112" s="97"/>
      <c r="E112" s="97"/>
      <c r="F112" s="97"/>
    </row>
    <row r="113" spans="2:6" x14ac:dyDescent="0.25">
      <c r="B113" s="97"/>
      <c r="C113" s="97"/>
      <c r="D113" s="97"/>
      <c r="E113" s="97"/>
      <c r="F113" s="97"/>
    </row>
    <row r="114" spans="2:6" x14ac:dyDescent="0.25">
      <c r="B114" s="97"/>
      <c r="C114" s="97"/>
      <c r="D114" s="97"/>
      <c r="E114" s="97"/>
      <c r="F114" s="97"/>
    </row>
    <row r="115" spans="2:6" x14ac:dyDescent="0.25">
      <c r="B115" s="97"/>
      <c r="C115" s="97"/>
      <c r="D115" s="97"/>
      <c r="E115" s="97"/>
      <c r="F115" s="97"/>
    </row>
  </sheetData>
  <autoFilter ref="A4:I105" xr:uid="{00000000-0009-0000-0000-000000000000}"/>
  <pageMargins left="0.51181102362204722" right="0.51181102362204722" top="0.47244094488188981" bottom="0.47244094488188981" header="0.31496062992125984" footer="0.31496062992125984"/>
  <pageSetup paperSize="9" scale="7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4FB8B-9C07-4D8D-BD1A-B5CF364A0AEB}">
  <sheetPr>
    <tabColor rgb="FF00B050"/>
    <pageSetUpPr fitToPage="1"/>
  </sheetPr>
  <dimension ref="A1:M106"/>
  <sheetViews>
    <sheetView showGridLines="0" workbookViewId="0">
      <selection activeCell="L80" sqref="L1:M1048576"/>
    </sheetView>
  </sheetViews>
  <sheetFormatPr defaultRowHeight="15" x14ac:dyDescent="0.25"/>
  <cols>
    <col min="1" max="1" width="9.85546875" style="91" customWidth="1"/>
    <col min="2" max="2" width="44.7109375" style="91" bestFit="1" customWidth="1"/>
    <col min="3" max="3" width="12.7109375" style="90" customWidth="1"/>
    <col min="4" max="4" width="12" style="100" customWidth="1"/>
    <col min="5" max="5" width="14.7109375" style="100" customWidth="1"/>
    <col min="6" max="6" width="15.28515625" style="100" customWidth="1"/>
    <col min="7" max="7" width="15.7109375" style="100" customWidth="1"/>
    <col min="8" max="8" width="10.42578125" style="100" customWidth="1"/>
    <col min="9" max="9" width="10.7109375" style="91" hidden="1" customWidth="1"/>
    <col min="10" max="10" width="11.5703125" style="91" hidden="1" customWidth="1"/>
    <col min="11" max="11" width="14" style="91" hidden="1" customWidth="1"/>
    <col min="12" max="12" width="14.42578125" style="91" hidden="1" customWidth="1"/>
    <col min="13" max="13" width="16.85546875" style="91" hidden="1" customWidth="1"/>
    <col min="14" max="16384" width="9.140625" style="91"/>
  </cols>
  <sheetData>
    <row r="1" spans="1:13" x14ac:dyDescent="0.25">
      <c r="A1" s="261"/>
      <c r="B1" s="264" t="s">
        <v>141</v>
      </c>
      <c r="C1" s="265"/>
      <c r="D1" s="103"/>
      <c r="E1" s="104"/>
      <c r="F1" s="104"/>
      <c r="G1" s="104"/>
      <c r="H1" s="104"/>
      <c r="I1" s="105"/>
      <c r="J1" s="105"/>
      <c r="K1" s="105"/>
      <c r="L1" s="105"/>
      <c r="M1" s="105"/>
    </row>
    <row r="2" spans="1:13" ht="15.75" x14ac:dyDescent="0.25">
      <c r="A2" s="273"/>
      <c r="B2" s="266" t="s">
        <v>166</v>
      </c>
      <c r="C2" s="267"/>
      <c r="D2" s="11"/>
      <c r="E2" s="11"/>
      <c r="F2" s="11"/>
      <c r="G2" s="11"/>
      <c r="H2" s="11"/>
      <c r="I2" s="90"/>
      <c r="J2" s="90"/>
      <c r="K2" s="90"/>
      <c r="L2" s="90"/>
      <c r="M2" s="90"/>
    </row>
    <row r="3" spans="1:13" ht="15.75" x14ac:dyDescent="0.25">
      <c r="A3" s="274"/>
      <c r="B3" s="268" t="s">
        <v>208</v>
      </c>
      <c r="C3" s="269"/>
      <c r="D3" s="112"/>
      <c r="E3" s="112"/>
      <c r="F3" s="112"/>
      <c r="G3" s="112"/>
      <c r="H3" s="112"/>
      <c r="I3" s="113"/>
      <c r="J3" s="113"/>
      <c r="K3" s="113"/>
      <c r="L3" s="113"/>
      <c r="M3" s="113"/>
    </row>
    <row r="4" spans="1:13" s="92" customFormat="1" ht="35.25" customHeight="1" x14ac:dyDescent="0.2">
      <c r="A4" s="56" t="s">
        <v>143</v>
      </c>
      <c r="B4" s="57" t="s">
        <v>144</v>
      </c>
      <c r="C4" s="39" t="s">
        <v>140</v>
      </c>
      <c r="D4" s="38" t="s">
        <v>163</v>
      </c>
      <c r="E4" s="39" t="s">
        <v>146</v>
      </c>
      <c r="F4" s="39" t="s">
        <v>207</v>
      </c>
      <c r="G4" s="39" t="s">
        <v>165</v>
      </c>
      <c r="H4" s="39" t="s">
        <v>212</v>
      </c>
      <c r="I4" s="39" t="s">
        <v>147</v>
      </c>
      <c r="J4" s="39" t="s">
        <v>213</v>
      </c>
      <c r="K4" s="39" t="s">
        <v>214</v>
      </c>
      <c r="L4" s="39" t="s">
        <v>252</v>
      </c>
      <c r="M4" s="39" t="s">
        <v>256</v>
      </c>
    </row>
    <row r="5" spans="1:13" ht="16.5" customHeight="1" x14ac:dyDescent="0.25">
      <c r="A5" s="120">
        <v>0.65</v>
      </c>
      <c r="B5" s="125" t="s">
        <v>1</v>
      </c>
      <c r="C5" s="126">
        <v>3858.8</v>
      </c>
      <c r="D5" s="123">
        <f>ROUND(C5*A5,2)</f>
        <v>2508.2199999999998</v>
      </c>
      <c r="E5" s="122">
        <f>C5-D5</f>
        <v>1350.5800000000004</v>
      </c>
      <c r="F5" s="122">
        <f t="shared" ref="F5:F65" si="0">C5/3</f>
        <v>1286.2666666666667</v>
      </c>
      <c r="G5" s="122">
        <f t="shared" ref="G5:G65" si="1">E5+F5</f>
        <v>2636.8466666666673</v>
      </c>
      <c r="H5" s="122">
        <f t="shared" ref="H5:H19" si="2">SUM(C5+F5)*8%</f>
        <v>411.60533333333336</v>
      </c>
      <c r="I5" s="124">
        <v>44236</v>
      </c>
      <c r="J5" s="124">
        <v>44232</v>
      </c>
      <c r="K5" s="240">
        <f t="shared" ref="K5:K65" si="3">I5-J5</f>
        <v>4</v>
      </c>
      <c r="L5" s="359">
        <v>9.4799999999999995E-2</v>
      </c>
      <c r="M5" s="122">
        <f t="shared" ref="M5:M34" si="4">G5*L5</f>
        <v>249.97306400000005</v>
      </c>
    </row>
    <row r="6" spans="1:13" ht="16.5" customHeight="1" x14ac:dyDescent="0.25">
      <c r="A6" s="120">
        <v>0.65</v>
      </c>
      <c r="B6" s="125" t="s">
        <v>2</v>
      </c>
      <c r="C6" s="126">
        <v>1910.26</v>
      </c>
      <c r="D6" s="123">
        <f t="shared" ref="D6:D66" si="5">ROUND(C6*A6,2)</f>
        <v>1241.67</v>
      </c>
      <c r="E6" s="122">
        <f t="shared" ref="E6:E59" si="6">C6-D6</f>
        <v>668.58999999999992</v>
      </c>
      <c r="F6" s="122">
        <f t="shared" si="0"/>
        <v>636.75333333333333</v>
      </c>
      <c r="G6" s="122">
        <f t="shared" si="1"/>
        <v>1305.3433333333332</v>
      </c>
      <c r="H6" s="122">
        <f t="shared" si="2"/>
        <v>203.76106666666666</v>
      </c>
      <c r="I6" s="124">
        <v>44236</v>
      </c>
      <c r="J6" s="124">
        <v>44232</v>
      </c>
      <c r="K6" s="240">
        <f t="shared" si="3"/>
        <v>4</v>
      </c>
      <c r="L6" s="359">
        <v>9.4799999999999995E-2</v>
      </c>
      <c r="M6" s="122">
        <f t="shared" si="4"/>
        <v>123.74654799999999</v>
      </c>
    </row>
    <row r="7" spans="1:13" ht="16.5" customHeight="1" x14ac:dyDescent="0.25">
      <c r="A7" s="120">
        <v>0.65</v>
      </c>
      <c r="B7" s="121" t="s">
        <v>3</v>
      </c>
      <c r="C7" s="126">
        <v>3719.64</v>
      </c>
      <c r="D7" s="123">
        <f t="shared" si="5"/>
        <v>2417.77</v>
      </c>
      <c r="E7" s="122">
        <f t="shared" si="6"/>
        <v>1301.8699999999999</v>
      </c>
      <c r="F7" s="122">
        <f t="shared" si="0"/>
        <v>1239.8799999999999</v>
      </c>
      <c r="G7" s="122">
        <f t="shared" si="1"/>
        <v>2541.75</v>
      </c>
      <c r="H7" s="122">
        <f t="shared" si="2"/>
        <v>396.76159999999999</v>
      </c>
      <c r="I7" s="127">
        <v>44235</v>
      </c>
      <c r="J7" s="124">
        <v>44232</v>
      </c>
      <c r="K7" s="240">
        <f t="shared" si="3"/>
        <v>3</v>
      </c>
      <c r="L7" s="359">
        <v>9.4799999999999995E-2</v>
      </c>
      <c r="M7" s="122">
        <f t="shared" si="4"/>
        <v>240.9579</v>
      </c>
    </row>
    <row r="8" spans="1:13" ht="16.5" customHeight="1" x14ac:dyDescent="0.25">
      <c r="A8" s="120">
        <v>0.65</v>
      </c>
      <c r="B8" s="125" t="s">
        <v>4</v>
      </c>
      <c r="C8" s="126">
        <v>4186.9799999999996</v>
      </c>
      <c r="D8" s="123">
        <f t="shared" si="5"/>
        <v>2721.54</v>
      </c>
      <c r="E8" s="122">
        <f t="shared" si="6"/>
        <v>1465.4399999999996</v>
      </c>
      <c r="F8" s="122">
        <f t="shared" si="0"/>
        <v>1395.6599999999999</v>
      </c>
      <c r="G8" s="122">
        <f t="shared" si="1"/>
        <v>2861.0999999999995</v>
      </c>
      <c r="H8" s="122">
        <f t="shared" si="2"/>
        <v>446.61119999999994</v>
      </c>
      <c r="I8" s="124">
        <v>44236</v>
      </c>
      <c r="J8" s="124">
        <v>44232</v>
      </c>
      <c r="K8" s="240">
        <f t="shared" si="3"/>
        <v>4</v>
      </c>
      <c r="L8" s="359">
        <v>9.4799999999999995E-2</v>
      </c>
      <c r="M8" s="122">
        <f t="shared" si="4"/>
        <v>271.23227999999995</v>
      </c>
    </row>
    <row r="9" spans="1:13" ht="16.5" customHeight="1" x14ac:dyDescent="0.25">
      <c r="A9" s="120">
        <v>0.65</v>
      </c>
      <c r="B9" s="125" t="s">
        <v>5</v>
      </c>
      <c r="C9" s="126">
        <v>6300.84</v>
      </c>
      <c r="D9" s="123">
        <f t="shared" si="5"/>
        <v>4095.55</v>
      </c>
      <c r="E9" s="122">
        <f t="shared" si="6"/>
        <v>2205.29</v>
      </c>
      <c r="F9" s="122">
        <f t="shared" si="0"/>
        <v>2100.2800000000002</v>
      </c>
      <c r="G9" s="122">
        <f t="shared" si="1"/>
        <v>4305.57</v>
      </c>
      <c r="H9" s="122">
        <f t="shared" si="2"/>
        <v>672.08960000000013</v>
      </c>
      <c r="I9" s="127">
        <v>44236</v>
      </c>
      <c r="J9" s="124">
        <v>44232</v>
      </c>
      <c r="K9" s="240">
        <f t="shared" si="3"/>
        <v>4</v>
      </c>
      <c r="L9" s="359">
        <v>9.4799999999999995E-2</v>
      </c>
      <c r="M9" s="122">
        <f t="shared" si="4"/>
        <v>408.16803599999997</v>
      </c>
    </row>
    <row r="10" spans="1:13" ht="16.5" customHeight="1" x14ac:dyDescent="0.25">
      <c r="A10" s="120">
        <v>0.65</v>
      </c>
      <c r="B10" s="125" t="s">
        <v>6</v>
      </c>
      <c r="C10" s="126">
        <v>3329.52</v>
      </c>
      <c r="D10" s="123">
        <f t="shared" si="5"/>
        <v>2164.19</v>
      </c>
      <c r="E10" s="122">
        <f t="shared" si="6"/>
        <v>1165.33</v>
      </c>
      <c r="F10" s="122">
        <f t="shared" si="0"/>
        <v>1109.8399999999999</v>
      </c>
      <c r="G10" s="122">
        <f t="shared" si="1"/>
        <v>2275.17</v>
      </c>
      <c r="H10" s="122">
        <f t="shared" si="2"/>
        <v>355.14879999999999</v>
      </c>
      <c r="I10" s="124">
        <v>44232</v>
      </c>
      <c r="J10" s="124">
        <v>44232</v>
      </c>
      <c r="K10" s="240">
        <f t="shared" si="3"/>
        <v>0</v>
      </c>
      <c r="L10" s="359">
        <v>9.4799999999999995E-2</v>
      </c>
      <c r="M10" s="122">
        <f t="shared" si="4"/>
        <v>215.686116</v>
      </c>
    </row>
    <row r="11" spans="1:13" ht="16.5" customHeight="1" x14ac:dyDescent="0.25">
      <c r="A11" s="120">
        <v>0.65</v>
      </c>
      <c r="B11" s="125" t="s">
        <v>7</v>
      </c>
      <c r="C11" s="126">
        <v>3065.85</v>
      </c>
      <c r="D11" s="123">
        <f t="shared" si="5"/>
        <v>1992.8</v>
      </c>
      <c r="E11" s="122">
        <f t="shared" si="6"/>
        <v>1073.05</v>
      </c>
      <c r="F11" s="122">
        <f t="shared" si="0"/>
        <v>1021.9499999999999</v>
      </c>
      <c r="G11" s="122">
        <f t="shared" si="1"/>
        <v>2095</v>
      </c>
      <c r="H11" s="122">
        <f t="shared" si="2"/>
        <v>327.024</v>
      </c>
      <c r="I11" s="124">
        <v>44235</v>
      </c>
      <c r="J11" s="124">
        <v>44232</v>
      </c>
      <c r="K11" s="240">
        <f t="shared" si="3"/>
        <v>3</v>
      </c>
      <c r="L11" s="359">
        <v>9.4799999999999995E-2</v>
      </c>
      <c r="M11" s="122">
        <f t="shared" si="4"/>
        <v>198.60599999999999</v>
      </c>
    </row>
    <row r="12" spans="1:13" ht="16.5" customHeight="1" x14ac:dyDescent="0.25">
      <c r="A12" s="120">
        <v>0.65</v>
      </c>
      <c r="B12" s="125" t="s">
        <v>8</v>
      </c>
      <c r="C12" s="126">
        <v>3210.09</v>
      </c>
      <c r="D12" s="123">
        <f t="shared" si="5"/>
        <v>2086.56</v>
      </c>
      <c r="E12" s="122">
        <f t="shared" si="6"/>
        <v>1123.5300000000002</v>
      </c>
      <c r="F12" s="122">
        <f t="shared" si="0"/>
        <v>1070.03</v>
      </c>
      <c r="G12" s="122">
        <f t="shared" si="1"/>
        <v>2193.5600000000004</v>
      </c>
      <c r="H12" s="122">
        <f t="shared" si="2"/>
        <v>342.40960000000001</v>
      </c>
      <c r="I12" s="124">
        <v>44257</v>
      </c>
      <c r="J12" s="124">
        <v>44232</v>
      </c>
      <c r="K12" s="240">
        <f t="shared" si="3"/>
        <v>25</v>
      </c>
      <c r="L12" s="359">
        <v>9.4799999999999995E-2</v>
      </c>
      <c r="M12" s="122">
        <f t="shared" si="4"/>
        <v>207.94948800000003</v>
      </c>
    </row>
    <row r="13" spans="1:13" ht="16.5" customHeight="1" x14ac:dyDescent="0.25">
      <c r="A13" s="120">
        <v>0.65</v>
      </c>
      <c r="B13" s="125" t="s">
        <v>9</v>
      </c>
      <c r="C13" s="126">
        <v>3842.33</v>
      </c>
      <c r="D13" s="123">
        <f t="shared" si="5"/>
        <v>2497.5100000000002</v>
      </c>
      <c r="E13" s="122">
        <f t="shared" si="6"/>
        <v>1344.8199999999997</v>
      </c>
      <c r="F13" s="122">
        <f t="shared" si="0"/>
        <v>1280.7766666666666</v>
      </c>
      <c r="G13" s="122">
        <f t="shared" si="1"/>
        <v>2625.5966666666664</v>
      </c>
      <c r="H13" s="122">
        <f t="shared" si="2"/>
        <v>409.84853333333331</v>
      </c>
      <c r="I13" s="124">
        <v>44236</v>
      </c>
      <c r="J13" s="124">
        <v>44232</v>
      </c>
      <c r="K13" s="240">
        <f t="shared" si="3"/>
        <v>4</v>
      </c>
      <c r="L13" s="359">
        <v>9.4799999999999995E-2</v>
      </c>
      <c r="M13" s="122">
        <f t="shared" si="4"/>
        <v>248.90656399999995</v>
      </c>
    </row>
    <row r="14" spans="1:13" ht="16.5" customHeight="1" x14ac:dyDescent="0.25">
      <c r="A14" s="120">
        <v>0.65</v>
      </c>
      <c r="B14" s="121" t="s">
        <v>10</v>
      </c>
      <c r="C14" s="126">
        <v>1004.39</v>
      </c>
      <c r="D14" s="123">
        <f t="shared" si="5"/>
        <v>652.85</v>
      </c>
      <c r="E14" s="122">
        <f t="shared" si="6"/>
        <v>351.53999999999996</v>
      </c>
      <c r="F14" s="122">
        <f t="shared" si="0"/>
        <v>334.79666666666668</v>
      </c>
      <c r="G14" s="122">
        <f t="shared" si="1"/>
        <v>686.33666666666659</v>
      </c>
      <c r="H14" s="122">
        <f t="shared" si="2"/>
        <v>107.13493333333334</v>
      </c>
      <c r="I14" s="127">
        <v>44235</v>
      </c>
      <c r="J14" s="124">
        <v>44232</v>
      </c>
      <c r="K14" s="240">
        <f t="shared" si="3"/>
        <v>3</v>
      </c>
      <c r="L14" s="359">
        <v>9.4799999999999995E-2</v>
      </c>
      <c r="M14" s="122">
        <f t="shared" si="4"/>
        <v>65.06471599999999</v>
      </c>
    </row>
    <row r="15" spans="1:13" ht="16.5" customHeight="1" x14ac:dyDescent="0.25">
      <c r="A15" s="120">
        <v>0.65</v>
      </c>
      <c r="B15" s="125" t="s">
        <v>11</v>
      </c>
      <c r="C15" s="126">
        <v>4387.21</v>
      </c>
      <c r="D15" s="123">
        <v>0</v>
      </c>
      <c r="E15" s="122">
        <f>C15</f>
        <v>4387.21</v>
      </c>
      <c r="F15" s="122">
        <f t="shared" si="0"/>
        <v>1462.4033333333334</v>
      </c>
      <c r="G15" s="122">
        <f t="shared" si="1"/>
        <v>5849.6133333333337</v>
      </c>
      <c r="H15" s="122">
        <f t="shared" si="2"/>
        <v>467.96906666666672</v>
      </c>
      <c r="I15" s="124"/>
      <c r="J15" s="124">
        <v>44232</v>
      </c>
      <c r="K15" s="240"/>
      <c r="L15" s="359">
        <v>9.4799999999999995E-2</v>
      </c>
      <c r="M15" s="122">
        <f t="shared" si="4"/>
        <v>554.54334400000005</v>
      </c>
    </row>
    <row r="16" spans="1:13" ht="16.5" customHeight="1" x14ac:dyDescent="0.25">
      <c r="A16" s="120">
        <v>0.65</v>
      </c>
      <c r="B16" s="125" t="s">
        <v>12</v>
      </c>
      <c r="C16" s="126">
        <v>3596.02</v>
      </c>
      <c r="D16" s="123">
        <f>ROUND(C16*A16,2)</f>
        <v>2337.41</v>
      </c>
      <c r="E16" s="122">
        <f>C16-D16</f>
        <v>1258.6100000000001</v>
      </c>
      <c r="F16" s="122">
        <f t="shared" si="0"/>
        <v>1198.6733333333334</v>
      </c>
      <c r="G16" s="122">
        <f t="shared" si="1"/>
        <v>2457.2833333333338</v>
      </c>
      <c r="H16" s="122">
        <f t="shared" si="2"/>
        <v>383.57546666666667</v>
      </c>
      <c r="I16" s="124">
        <v>44239</v>
      </c>
      <c r="J16" s="124">
        <v>44232</v>
      </c>
      <c r="K16" s="240">
        <f t="shared" si="3"/>
        <v>7</v>
      </c>
      <c r="L16" s="359">
        <v>9.4799999999999995E-2</v>
      </c>
      <c r="M16" s="122">
        <f t="shared" si="4"/>
        <v>232.95046000000002</v>
      </c>
    </row>
    <row r="17" spans="1:13" ht="16.5" customHeight="1" x14ac:dyDescent="0.25">
      <c r="A17" s="120">
        <v>0.65</v>
      </c>
      <c r="B17" s="125" t="s">
        <v>13</v>
      </c>
      <c r="C17" s="126">
        <v>3052.95</v>
      </c>
      <c r="D17" s="123">
        <f t="shared" si="5"/>
        <v>1984.42</v>
      </c>
      <c r="E17" s="122">
        <f t="shared" si="6"/>
        <v>1068.5299999999997</v>
      </c>
      <c r="F17" s="122">
        <f t="shared" si="0"/>
        <v>1017.65</v>
      </c>
      <c r="G17" s="122">
        <f t="shared" si="1"/>
        <v>2086.1799999999998</v>
      </c>
      <c r="H17" s="122">
        <f t="shared" si="2"/>
        <v>325.64800000000002</v>
      </c>
      <c r="I17" s="124">
        <v>44236</v>
      </c>
      <c r="J17" s="124">
        <v>44232</v>
      </c>
      <c r="K17" s="240">
        <f t="shared" si="3"/>
        <v>4</v>
      </c>
      <c r="L17" s="359">
        <v>9.4799999999999995E-2</v>
      </c>
      <c r="M17" s="122">
        <f t="shared" si="4"/>
        <v>197.76986399999998</v>
      </c>
    </row>
    <row r="18" spans="1:13" ht="16.5" customHeight="1" x14ac:dyDescent="0.25">
      <c r="A18" s="120">
        <v>0.65</v>
      </c>
      <c r="B18" s="125" t="s">
        <v>14</v>
      </c>
      <c r="C18" s="126">
        <v>1906.46</v>
      </c>
      <c r="D18" s="123">
        <f t="shared" si="5"/>
        <v>1239.2</v>
      </c>
      <c r="E18" s="122">
        <f t="shared" si="6"/>
        <v>667.26</v>
      </c>
      <c r="F18" s="122">
        <f t="shared" si="0"/>
        <v>635.48666666666668</v>
      </c>
      <c r="G18" s="122">
        <f t="shared" si="1"/>
        <v>1302.7466666666667</v>
      </c>
      <c r="H18" s="122">
        <f t="shared" si="2"/>
        <v>203.35573333333335</v>
      </c>
      <c r="I18" s="124">
        <v>44235</v>
      </c>
      <c r="J18" s="124">
        <v>44232</v>
      </c>
      <c r="K18" s="240">
        <f t="shared" si="3"/>
        <v>3</v>
      </c>
      <c r="L18" s="359">
        <v>9.4799999999999995E-2</v>
      </c>
      <c r="M18" s="122">
        <f t="shared" si="4"/>
        <v>123.500384</v>
      </c>
    </row>
    <row r="19" spans="1:13" ht="16.5" customHeight="1" x14ac:dyDescent="0.25">
      <c r="A19" s="120">
        <v>0.65</v>
      </c>
      <c r="B19" s="125" t="s">
        <v>15</v>
      </c>
      <c r="C19" s="126">
        <v>2452.9499999999998</v>
      </c>
      <c r="D19" s="123">
        <f>ROUND(C19*A19,2)</f>
        <v>1594.42</v>
      </c>
      <c r="E19" s="122">
        <f>C19-D19</f>
        <v>858.52999999999975</v>
      </c>
      <c r="F19" s="122">
        <f t="shared" si="0"/>
        <v>817.65</v>
      </c>
      <c r="G19" s="122">
        <f t="shared" si="1"/>
        <v>1676.1799999999998</v>
      </c>
      <c r="H19" s="122">
        <f t="shared" si="2"/>
        <v>261.64800000000002</v>
      </c>
      <c r="I19" s="124">
        <v>44236</v>
      </c>
      <c r="J19" s="124">
        <v>44232</v>
      </c>
      <c r="K19" s="240">
        <f t="shared" si="3"/>
        <v>4</v>
      </c>
      <c r="L19" s="359">
        <v>9.4799999999999995E-2</v>
      </c>
      <c r="M19" s="122">
        <f t="shared" si="4"/>
        <v>158.90186399999999</v>
      </c>
    </row>
    <row r="20" spans="1:13" ht="16.5" customHeight="1" x14ac:dyDescent="0.25">
      <c r="A20" s="129"/>
      <c r="B20" s="48" t="s">
        <v>156</v>
      </c>
      <c r="C20" s="48">
        <f>SUM(C5:C19)</f>
        <v>49824.289999999986</v>
      </c>
      <c r="D20" s="48">
        <f>SUM(D5:D19)</f>
        <v>29534.110000000008</v>
      </c>
      <c r="E20" s="48">
        <f>SUM(E5:E19)</f>
        <v>20290.179999999997</v>
      </c>
      <c r="F20" s="48">
        <f>SUM(F5:F19)</f>
        <v>16608.096666666672</v>
      </c>
      <c r="G20" s="48">
        <f t="shared" si="1"/>
        <v>36898.276666666672</v>
      </c>
      <c r="H20" s="48">
        <f>SUM(H5:H19)</f>
        <v>5314.5909333333348</v>
      </c>
      <c r="I20" s="131"/>
      <c r="J20" s="130"/>
      <c r="K20" s="242">
        <f t="shared" si="3"/>
        <v>0</v>
      </c>
      <c r="L20" s="396"/>
      <c r="M20" s="49">
        <f>SUM(M5:M19)</f>
        <v>3497.9566279999999</v>
      </c>
    </row>
    <row r="21" spans="1:13" ht="16.5" customHeight="1" x14ac:dyDescent="0.25">
      <c r="A21" s="120">
        <v>0.8</v>
      </c>
      <c r="B21" s="121" t="s">
        <v>19</v>
      </c>
      <c r="C21" s="122">
        <v>3981.89</v>
      </c>
      <c r="D21" s="123">
        <f t="shared" si="5"/>
        <v>3185.51</v>
      </c>
      <c r="E21" s="122">
        <f t="shared" si="6"/>
        <v>796.37999999999965</v>
      </c>
      <c r="F21" s="122">
        <f t="shared" si="0"/>
        <v>1327.2966666666666</v>
      </c>
      <c r="G21" s="122">
        <f t="shared" si="1"/>
        <v>2123.6766666666663</v>
      </c>
      <c r="H21" s="122">
        <f t="shared" ref="H21:H34" si="7">SUM(C21+F21)*8%</f>
        <v>424.73493333333334</v>
      </c>
      <c r="I21" s="124">
        <v>44235</v>
      </c>
      <c r="J21" s="124">
        <v>44232</v>
      </c>
      <c r="K21" s="240">
        <f t="shared" si="3"/>
        <v>3</v>
      </c>
      <c r="L21" s="359">
        <v>9.4799999999999995E-2</v>
      </c>
      <c r="M21" s="122">
        <f t="shared" si="4"/>
        <v>201.32454799999996</v>
      </c>
    </row>
    <row r="22" spans="1:13" ht="16.5" customHeight="1" x14ac:dyDescent="0.25">
      <c r="A22" s="120">
        <v>0.8</v>
      </c>
      <c r="B22" s="121" t="s">
        <v>20</v>
      </c>
      <c r="C22" s="122">
        <v>1476.03</v>
      </c>
      <c r="D22" s="123">
        <f>ROUND(C22*A22,2)-0.5</f>
        <v>1180.32</v>
      </c>
      <c r="E22" s="122">
        <f>C22-D22</f>
        <v>295.71000000000004</v>
      </c>
      <c r="F22" s="122">
        <f t="shared" si="0"/>
        <v>492.01</v>
      </c>
      <c r="G22" s="122">
        <f t="shared" si="1"/>
        <v>787.72</v>
      </c>
      <c r="H22" s="122">
        <f t="shared" si="7"/>
        <v>157.44319999999999</v>
      </c>
      <c r="I22" s="127">
        <v>44236</v>
      </c>
      <c r="J22" s="124">
        <v>44232</v>
      </c>
      <c r="K22" s="240">
        <f t="shared" si="3"/>
        <v>4</v>
      </c>
      <c r="L22" s="359">
        <v>9.4799999999999995E-2</v>
      </c>
      <c r="M22" s="122">
        <f t="shared" si="4"/>
        <v>74.675855999999996</v>
      </c>
    </row>
    <row r="23" spans="1:13" ht="16.5" customHeight="1" x14ac:dyDescent="0.25">
      <c r="A23" s="120">
        <v>0.8</v>
      </c>
      <c r="B23" s="121" t="s">
        <v>21</v>
      </c>
      <c r="C23" s="122">
        <v>606.66999999999996</v>
      </c>
      <c r="D23" s="123">
        <f t="shared" si="5"/>
        <v>485.34</v>
      </c>
      <c r="E23" s="122">
        <f t="shared" si="6"/>
        <v>121.32999999999998</v>
      </c>
      <c r="F23" s="122">
        <f t="shared" si="0"/>
        <v>202.22333333333333</v>
      </c>
      <c r="G23" s="122">
        <f t="shared" si="1"/>
        <v>323.55333333333328</v>
      </c>
      <c r="H23" s="122">
        <f t="shared" si="7"/>
        <v>64.711466666666666</v>
      </c>
      <c r="I23" s="127">
        <v>44232</v>
      </c>
      <c r="J23" s="124">
        <v>44232</v>
      </c>
      <c r="K23" s="240">
        <f t="shared" si="3"/>
        <v>0</v>
      </c>
      <c r="L23" s="359">
        <v>9.4799999999999995E-2</v>
      </c>
      <c r="M23" s="122">
        <f t="shared" si="4"/>
        <v>30.672855999999992</v>
      </c>
    </row>
    <row r="24" spans="1:13" ht="16.5" customHeight="1" x14ac:dyDescent="0.25">
      <c r="A24" s="120">
        <v>0.8</v>
      </c>
      <c r="B24" s="121" t="s">
        <v>22</v>
      </c>
      <c r="C24" s="122">
        <v>3473.17</v>
      </c>
      <c r="D24" s="123">
        <f t="shared" si="5"/>
        <v>2778.54</v>
      </c>
      <c r="E24" s="122">
        <f t="shared" si="6"/>
        <v>694.63000000000011</v>
      </c>
      <c r="F24" s="122">
        <f t="shared" si="0"/>
        <v>1157.7233333333334</v>
      </c>
      <c r="G24" s="122">
        <f t="shared" si="1"/>
        <v>1852.3533333333335</v>
      </c>
      <c r="H24" s="122">
        <f t="shared" si="7"/>
        <v>370.47146666666669</v>
      </c>
      <c r="I24" s="127">
        <v>44236</v>
      </c>
      <c r="J24" s="124">
        <v>44232</v>
      </c>
      <c r="K24" s="240">
        <f t="shared" si="3"/>
        <v>4</v>
      </c>
      <c r="L24" s="359">
        <v>9.4799999999999995E-2</v>
      </c>
      <c r="M24" s="122">
        <f t="shared" si="4"/>
        <v>175.60309599999999</v>
      </c>
    </row>
    <row r="25" spans="1:13" ht="16.5" customHeight="1" x14ac:dyDescent="0.25">
      <c r="A25" s="120">
        <v>0.8</v>
      </c>
      <c r="B25" s="121" t="s">
        <v>23</v>
      </c>
      <c r="C25" s="126">
        <v>2081.3000000000002</v>
      </c>
      <c r="D25" s="123">
        <f t="shared" si="5"/>
        <v>1665.04</v>
      </c>
      <c r="E25" s="122">
        <f t="shared" si="6"/>
        <v>416.26000000000022</v>
      </c>
      <c r="F25" s="122">
        <f t="shared" si="0"/>
        <v>693.76666666666677</v>
      </c>
      <c r="G25" s="122">
        <f t="shared" si="1"/>
        <v>1110.0266666666671</v>
      </c>
      <c r="H25" s="122">
        <f t="shared" si="7"/>
        <v>222.00533333333337</v>
      </c>
      <c r="I25" s="127">
        <v>44236</v>
      </c>
      <c r="J25" s="124">
        <v>44232</v>
      </c>
      <c r="K25" s="240">
        <f t="shared" si="3"/>
        <v>4</v>
      </c>
      <c r="L25" s="359">
        <v>9.4799999999999995E-2</v>
      </c>
      <c r="M25" s="122">
        <f t="shared" si="4"/>
        <v>105.23052800000004</v>
      </c>
    </row>
    <row r="26" spans="1:13" ht="16.5" customHeight="1" x14ac:dyDescent="0.25">
      <c r="A26" s="120">
        <v>0.8</v>
      </c>
      <c r="B26" s="125" t="s">
        <v>24</v>
      </c>
      <c r="C26" s="126">
        <v>742.12</v>
      </c>
      <c r="D26" s="123">
        <f t="shared" si="5"/>
        <v>593.70000000000005</v>
      </c>
      <c r="E26" s="122">
        <f t="shared" si="6"/>
        <v>148.41999999999996</v>
      </c>
      <c r="F26" s="122">
        <f t="shared" si="0"/>
        <v>247.37333333333333</v>
      </c>
      <c r="G26" s="122">
        <f t="shared" si="1"/>
        <v>395.79333333333329</v>
      </c>
      <c r="H26" s="122">
        <f t="shared" si="7"/>
        <v>79.159466666666674</v>
      </c>
      <c r="I26" s="127">
        <v>44239</v>
      </c>
      <c r="J26" s="124">
        <v>44232</v>
      </c>
      <c r="K26" s="240">
        <f t="shared" si="3"/>
        <v>7</v>
      </c>
      <c r="L26" s="359">
        <v>9.4799999999999995E-2</v>
      </c>
      <c r="M26" s="122">
        <f t="shared" si="4"/>
        <v>37.521207999999994</v>
      </c>
    </row>
    <row r="27" spans="1:13" ht="16.5" customHeight="1" x14ac:dyDescent="0.25">
      <c r="A27" s="120">
        <v>0.8</v>
      </c>
      <c r="B27" s="121" t="s">
        <v>25</v>
      </c>
      <c r="C27" s="126">
        <v>7005.95</v>
      </c>
      <c r="D27" s="123">
        <f t="shared" si="5"/>
        <v>5604.76</v>
      </c>
      <c r="E27" s="122">
        <f t="shared" si="6"/>
        <v>1401.1899999999996</v>
      </c>
      <c r="F27" s="122">
        <f t="shared" si="0"/>
        <v>2335.3166666666666</v>
      </c>
      <c r="G27" s="122">
        <f t="shared" si="1"/>
        <v>3736.5066666666662</v>
      </c>
      <c r="H27" s="122">
        <f t="shared" si="7"/>
        <v>747.30133333333333</v>
      </c>
      <c r="I27" s="127">
        <v>44236</v>
      </c>
      <c r="J27" s="124">
        <v>44232</v>
      </c>
      <c r="K27" s="240">
        <f t="shared" si="3"/>
        <v>4</v>
      </c>
      <c r="L27" s="359">
        <v>9.4799999999999995E-2</v>
      </c>
      <c r="M27" s="122">
        <f t="shared" si="4"/>
        <v>354.22083199999992</v>
      </c>
    </row>
    <row r="28" spans="1:13" ht="16.5" customHeight="1" x14ac:dyDescent="0.25">
      <c r="A28" s="120">
        <v>0.8</v>
      </c>
      <c r="B28" s="121" t="s">
        <v>26</v>
      </c>
      <c r="C28" s="126">
        <v>4754.7700000000004</v>
      </c>
      <c r="D28" s="123">
        <f t="shared" si="5"/>
        <v>3803.82</v>
      </c>
      <c r="E28" s="122">
        <f t="shared" si="6"/>
        <v>950.95000000000027</v>
      </c>
      <c r="F28" s="122">
        <f t="shared" si="0"/>
        <v>1584.9233333333334</v>
      </c>
      <c r="G28" s="122">
        <f t="shared" si="1"/>
        <v>2535.8733333333339</v>
      </c>
      <c r="H28" s="122">
        <f t="shared" si="7"/>
        <v>507.17546666666669</v>
      </c>
      <c r="I28" s="127">
        <v>44245</v>
      </c>
      <c r="J28" s="124">
        <v>44232</v>
      </c>
      <c r="K28" s="240">
        <f t="shared" si="3"/>
        <v>13</v>
      </c>
      <c r="L28" s="359">
        <v>9.4799999999999995E-2</v>
      </c>
      <c r="M28" s="122">
        <f t="shared" si="4"/>
        <v>240.40079200000005</v>
      </c>
    </row>
    <row r="29" spans="1:13" ht="16.5" customHeight="1" x14ac:dyDescent="0.25">
      <c r="A29" s="120">
        <v>0.8</v>
      </c>
      <c r="B29" s="121" t="s">
        <v>27</v>
      </c>
      <c r="C29" s="126">
        <v>4207.63</v>
      </c>
      <c r="D29" s="123">
        <f t="shared" si="5"/>
        <v>3366.1</v>
      </c>
      <c r="E29" s="122">
        <f t="shared" si="6"/>
        <v>841.5300000000002</v>
      </c>
      <c r="F29" s="122">
        <f t="shared" si="0"/>
        <v>1402.5433333333333</v>
      </c>
      <c r="G29" s="122">
        <f t="shared" si="1"/>
        <v>2244.0733333333337</v>
      </c>
      <c r="H29" s="122">
        <f t="shared" si="7"/>
        <v>448.81386666666668</v>
      </c>
      <c r="I29" s="127">
        <v>44239</v>
      </c>
      <c r="J29" s="124">
        <v>44232</v>
      </c>
      <c r="K29" s="240">
        <f t="shared" si="3"/>
        <v>7</v>
      </c>
      <c r="L29" s="359">
        <v>9.4799999999999995E-2</v>
      </c>
      <c r="M29" s="122">
        <f t="shared" si="4"/>
        <v>212.73815200000001</v>
      </c>
    </row>
    <row r="30" spans="1:13" ht="16.5" customHeight="1" x14ac:dyDescent="0.25">
      <c r="A30" s="120">
        <v>0.8</v>
      </c>
      <c r="B30" s="121" t="s">
        <v>28</v>
      </c>
      <c r="C30" s="126">
        <v>1394.86</v>
      </c>
      <c r="D30" s="123">
        <f t="shared" si="5"/>
        <v>1115.8900000000001</v>
      </c>
      <c r="E30" s="122">
        <f t="shared" si="6"/>
        <v>278.9699999999998</v>
      </c>
      <c r="F30" s="122">
        <f t="shared" si="0"/>
        <v>464.95333333333332</v>
      </c>
      <c r="G30" s="122">
        <f t="shared" si="1"/>
        <v>743.92333333333318</v>
      </c>
      <c r="H30" s="122">
        <f t="shared" si="7"/>
        <v>148.78506666666667</v>
      </c>
      <c r="I30" s="127">
        <v>44235</v>
      </c>
      <c r="J30" s="124">
        <v>44232</v>
      </c>
      <c r="K30" s="240">
        <f t="shared" si="3"/>
        <v>3</v>
      </c>
      <c r="L30" s="359">
        <v>9.4799999999999995E-2</v>
      </c>
      <c r="M30" s="122">
        <f t="shared" si="4"/>
        <v>70.523931999999988</v>
      </c>
    </row>
    <row r="31" spans="1:13" ht="16.5" customHeight="1" x14ac:dyDescent="0.25">
      <c r="A31" s="120">
        <v>0.8</v>
      </c>
      <c r="B31" s="121" t="s">
        <v>29</v>
      </c>
      <c r="C31" s="126">
        <v>1119.18</v>
      </c>
      <c r="D31" s="123">
        <f t="shared" si="5"/>
        <v>895.34</v>
      </c>
      <c r="E31" s="122">
        <f t="shared" si="6"/>
        <v>223.84000000000003</v>
      </c>
      <c r="F31" s="122">
        <f t="shared" si="0"/>
        <v>373.06</v>
      </c>
      <c r="G31" s="122">
        <f t="shared" si="1"/>
        <v>596.90000000000009</v>
      </c>
      <c r="H31" s="122">
        <f t="shared" si="7"/>
        <v>119.3792</v>
      </c>
      <c r="I31" s="127">
        <v>44236</v>
      </c>
      <c r="J31" s="124">
        <v>44232</v>
      </c>
      <c r="K31" s="240">
        <f t="shared" si="3"/>
        <v>4</v>
      </c>
      <c r="L31" s="359">
        <v>9.4799999999999995E-2</v>
      </c>
      <c r="M31" s="122">
        <f t="shared" si="4"/>
        <v>56.586120000000008</v>
      </c>
    </row>
    <row r="32" spans="1:13" ht="16.5" customHeight="1" x14ac:dyDescent="0.25">
      <c r="A32" s="120">
        <v>0.8</v>
      </c>
      <c r="B32" s="121" t="s">
        <v>102</v>
      </c>
      <c r="C32" s="122">
        <v>4501.74</v>
      </c>
      <c r="D32" s="123">
        <f t="shared" si="5"/>
        <v>3601.39</v>
      </c>
      <c r="E32" s="122">
        <f t="shared" si="6"/>
        <v>900.34999999999991</v>
      </c>
      <c r="F32" s="122">
        <f t="shared" si="0"/>
        <v>1500.58</v>
      </c>
      <c r="G32" s="122">
        <f t="shared" si="1"/>
        <v>2400.9299999999998</v>
      </c>
      <c r="H32" s="122">
        <f t="shared" si="7"/>
        <v>480.18559999999997</v>
      </c>
      <c r="I32" s="127">
        <v>44232</v>
      </c>
      <c r="J32" s="124">
        <v>44232</v>
      </c>
      <c r="K32" s="240">
        <f t="shared" si="3"/>
        <v>0</v>
      </c>
      <c r="L32" s="359">
        <v>9.4799999999999995E-2</v>
      </c>
      <c r="M32" s="122">
        <f t="shared" si="4"/>
        <v>227.60816399999996</v>
      </c>
    </row>
    <row r="33" spans="1:13" ht="16.5" customHeight="1" x14ac:dyDescent="0.25">
      <c r="A33" s="120">
        <v>0.8</v>
      </c>
      <c r="B33" s="121" t="s">
        <v>31</v>
      </c>
      <c r="C33" s="126">
        <v>2737.48</v>
      </c>
      <c r="D33" s="123">
        <f t="shared" si="5"/>
        <v>2189.98</v>
      </c>
      <c r="E33" s="122">
        <f t="shared" si="6"/>
        <v>547.5</v>
      </c>
      <c r="F33" s="122">
        <f t="shared" si="0"/>
        <v>912.49333333333334</v>
      </c>
      <c r="G33" s="122">
        <f t="shared" si="1"/>
        <v>1459.9933333333333</v>
      </c>
      <c r="H33" s="122">
        <f t="shared" si="7"/>
        <v>291.99786666666665</v>
      </c>
      <c r="I33" s="127">
        <v>44232</v>
      </c>
      <c r="J33" s="124">
        <v>44232</v>
      </c>
      <c r="K33" s="240">
        <f t="shared" si="3"/>
        <v>0</v>
      </c>
      <c r="L33" s="359">
        <v>9.4799999999999995E-2</v>
      </c>
      <c r="M33" s="122">
        <f t="shared" si="4"/>
        <v>138.40736799999999</v>
      </c>
    </row>
    <row r="34" spans="1:13" ht="16.5" customHeight="1" x14ac:dyDescent="0.25">
      <c r="A34" s="120">
        <v>0.8</v>
      </c>
      <c r="B34" s="121" t="s">
        <v>32</v>
      </c>
      <c r="C34" s="126">
        <v>2279.9899999999998</v>
      </c>
      <c r="D34" s="123">
        <f t="shared" si="5"/>
        <v>1823.99</v>
      </c>
      <c r="E34" s="122">
        <f t="shared" si="6"/>
        <v>455.99999999999977</v>
      </c>
      <c r="F34" s="122">
        <f t="shared" si="0"/>
        <v>759.99666666666656</v>
      </c>
      <c r="G34" s="122">
        <f t="shared" si="1"/>
        <v>1215.9966666666664</v>
      </c>
      <c r="H34" s="122">
        <f t="shared" si="7"/>
        <v>243.19893333333331</v>
      </c>
      <c r="I34" s="127">
        <v>44235</v>
      </c>
      <c r="J34" s="124">
        <v>44232</v>
      </c>
      <c r="K34" s="240">
        <f t="shared" si="3"/>
        <v>3</v>
      </c>
      <c r="L34" s="359">
        <v>9.4799999999999995E-2</v>
      </c>
      <c r="M34" s="122">
        <f t="shared" si="4"/>
        <v>115.27648399999997</v>
      </c>
    </row>
    <row r="35" spans="1:13" ht="16.5" customHeight="1" x14ac:dyDescent="0.25">
      <c r="A35" s="132"/>
      <c r="B35" s="48" t="s">
        <v>160</v>
      </c>
      <c r="C35" s="48">
        <f>SUM(C21:C34)</f>
        <v>40362.780000000006</v>
      </c>
      <c r="D35" s="48">
        <f>SUM(D21:D34)</f>
        <v>32289.72</v>
      </c>
      <c r="E35" s="48">
        <f>SUM(E21:E34)</f>
        <v>8073.0599999999995</v>
      </c>
      <c r="F35" s="48">
        <f t="shared" si="0"/>
        <v>13454.260000000002</v>
      </c>
      <c r="G35" s="48">
        <f t="shared" si="1"/>
        <v>21527.32</v>
      </c>
      <c r="H35" s="48">
        <f>SUM(H21:H34)</f>
        <v>4305.3631999999998</v>
      </c>
      <c r="I35" s="133"/>
      <c r="J35" s="130"/>
      <c r="K35" s="242"/>
      <c r="L35" s="396"/>
      <c r="M35" s="49">
        <f>SUM(M21:M34)</f>
        <v>2040.7899359999997</v>
      </c>
    </row>
    <row r="36" spans="1:13" ht="16.5" customHeight="1" x14ac:dyDescent="0.25">
      <c r="A36" s="120">
        <v>1</v>
      </c>
      <c r="B36" s="121" t="s">
        <v>33</v>
      </c>
      <c r="C36" s="122">
        <v>2106.02</v>
      </c>
      <c r="D36" s="123">
        <f>ROUND(C36*A36,2)</f>
        <v>2106.02</v>
      </c>
      <c r="E36" s="122">
        <f>C36-D36</f>
        <v>0</v>
      </c>
      <c r="F36" s="122">
        <f t="shared" si="0"/>
        <v>702.00666666666666</v>
      </c>
      <c r="G36" s="122">
        <f t="shared" si="1"/>
        <v>702.00666666666666</v>
      </c>
      <c r="H36" s="122">
        <f>SUM(C36+F36)*8%</f>
        <v>224.64213333333333</v>
      </c>
      <c r="I36" s="127">
        <v>44236</v>
      </c>
      <c r="J36" s="124">
        <v>44232</v>
      </c>
      <c r="K36" s="240">
        <f t="shared" si="3"/>
        <v>4</v>
      </c>
      <c r="L36" s="359">
        <v>9.4799999999999995E-2</v>
      </c>
      <c r="M36" s="122">
        <f>G36*L36</f>
        <v>66.550231999999994</v>
      </c>
    </row>
    <row r="37" spans="1:13" ht="16.5" customHeight="1" x14ac:dyDescent="0.25">
      <c r="A37" s="120">
        <v>1</v>
      </c>
      <c r="B37" s="121" t="s">
        <v>34</v>
      </c>
      <c r="C37" s="126">
        <v>2848.74</v>
      </c>
      <c r="D37" s="123">
        <f t="shared" si="5"/>
        <v>2848.74</v>
      </c>
      <c r="E37" s="122">
        <f t="shared" si="6"/>
        <v>0</v>
      </c>
      <c r="F37" s="122">
        <f t="shared" si="0"/>
        <v>949.57999999999993</v>
      </c>
      <c r="G37" s="122">
        <f t="shared" si="1"/>
        <v>949.57999999999993</v>
      </c>
      <c r="H37" s="122">
        <f t="shared" ref="H37:H94" si="8">SUM(C37+F37)*8%</f>
        <v>303.86559999999997</v>
      </c>
      <c r="I37" s="127">
        <v>44235</v>
      </c>
      <c r="J37" s="124">
        <v>44232</v>
      </c>
      <c r="K37" s="240">
        <f t="shared" si="3"/>
        <v>3</v>
      </c>
      <c r="L37" s="359">
        <v>9.4799999999999995E-2</v>
      </c>
      <c r="M37" s="122">
        <f t="shared" ref="M37:M94" si="9">G37*L37</f>
        <v>90.020183999999986</v>
      </c>
    </row>
    <row r="38" spans="1:13" ht="16.5" customHeight="1" x14ac:dyDescent="0.25">
      <c r="A38" s="120">
        <v>1</v>
      </c>
      <c r="B38" s="125" t="s">
        <v>16</v>
      </c>
      <c r="C38" s="126">
        <v>0.72</v>
      </c>
      <c r="D38" s="123">
        <f t="shared" si="5"/>
        <v>0.72</v>
      </c>
      <c r="E38" s="122">
        <f t="shared" si="6"/>
        <v>0</v>
      </c>
      <c r="F38" s="122">
        <f t="shared" si="0"/>
        <v>0.24</v>
      </c>
      <c r="G38" s="122">
        <f t="shared" si="1"/>
        <v>0.24</v>
      </c>
      <c r="H38" s="122">
        <f t="shared" si="8"/>
        <v>7.6799999999999993E-2</v>
      </c>
      <c r="I38" s="124">
        <v>44232</v>
      </c>
      <c r="J38" s="124">
        <v>44232</v>
      </c>
      <c r="K38" s="240">
        <f t="shared" si="3"/>
        <v>0</v>
      </c>
      <c r="L38" s="359">
        <v>9.4799999999999995E-2</v>
      </c>
      <c r="M38" s="122">
        <f t="shared" si="9"/>
        <v>2.2751999999999998E-2</v>
      </c>
    </row>
    <row r="39" spans="1:13" ht="16.5" customHeight="1" x14ac:dyDescent="0.25">
      <c r="A39" s="120">
        <v>1</v>
      </c>
      <c r="B39" s="121" t="s">
        <v>35</v>
      </c>
      <c r="C39" s="126">
        <v>51.27</v>
      </c>
      <c r="D39" s="123">
        <f t="shared" si="5"/>
        <v>51.27</v>
      </c>
      <c r="E39" s="122">
        <f t="shared" si="6"/>
        <v>0</v>
      </c>
      <c r="F39" s="122">
        <f t="shared" si="0"/>
        <v>17.09</v>
      </c>
      <c r="G39" s="122">
        <f t="shared" si="1"/>
        <v>17.09</v>
      </c>
      <c r="H39" s="122">
        <f t="shared" si="8"/>
        <v>5.4687999999999999</v>
      </c>
      <c r="I39" s="127">
        <v>44232</v>
      </c>
      <c r="J39" s="124">
        <v>44232</v>
      </c>
      <c r="K39" s="240">
        <f t="shared" si="3"/>
        <v>0</v>
      </c>
      <c r="L39" s="359">
        <v>9.4799999999999995E-2</v>
      </c>
      <c r="M39" s="122">
        <f t="shared" si="9"/>
        <v>1.6201319999999999</v>
      </c>
    </row>
    <row r="40" spans="1:13" ht="16.5" customHeight="1" x14ac:dyDescent="0.25">
      <c r="A40" s="120">
        <v>1</v>
      </c>
      <c r="B40" s="121" t="s">
        <v>37</v>
      </c>
      <c r="C40" s="126">
        <v>1533.01</v>
      </c>
      <c r="D40" s="123">
        <f t="shared" si="5"/>
        <v>1533.01</v>
      </c>
      <c r="E40" s="122">
        <f t="shared" si="6"/>
        <v>0</v>
      </c>
      <c r="F40" s="122">
        <f t="shared" si="0"/>
        <v>511.00333333333333</v>
      </c>
      <c r="G40" s="122">
        <f t="shared" si="1"/>
        <v>511.00333333333333</v>
      </c>
      <c r="H40" s="122">
        <f t="shared" si="8"/>
        <v>163.52106666666666</v>
      </c>
      <c r="I40" s="127">
        <v>44235</v>
      </c>
      <c r="J40" s="124">
        <v>44232</v>
      </c>
      <c r="K40" s="240">
        <f t="shared" si="3"/>
        <v>3</v>
      </c>
      <c r="L40" s="359">
        <v>9.4799999999999995E-2</v>
      </c>
      <c r="M40" s="122">
        <f t="shared" si="9"/>
        <v>48.443115999999996</v>
      </c>
    </row>
    <row r="41" spans="1:13" ht="16.5" customHeight="1" x14ac:dyDescent="0.25">
      <c r="A41" s="120">
        <v>1</v>
      </c>
      <c r="B41" s="121" t="s">
        <v>38</v>
      </c>
      <c r="C41" s="126">
        <v>3069.82</v>
      </c>
      <c r="D41" s="123">
        <f t="shared" si="5"/>
        <v>3069.82</v>
      </c>
      <c r="E41" s="122">
        <f t="shared" si="6"/>
        <v>0</v>
      </c>
      <c r="F41" s="122">
        <f t="shared" si="0"/>
        <v>1023.2733333333334</v>
      </c>
      <c r="G41" s="122">
        <f t="shared" si="1"/>
        <v>1023.2733333333334</v>
      </c>
      <c r="H41" s="122">
        <f t="shared" si="8"/>
        <v>327.44746666666668</v>
      </c>
      <c r="I41" s="127">
        <v>44236</v>
      </c>
      <c r="J41" s="124">
        <v>44232</v>
      </c>
      <c r="K41" s="240">
        <f t="shared" si="3"/>
        <v>4</v>
      </c>
      <c r="L41" s="359">
        <v>9.4799999999999995E-2</v>
      </c>
      <c r="M41" s="122">
        <f t="shared" si="9"/>
        <v>97.006312000000008</v>
      </c>
    </row>
    <row r="42" spans="1:13" ht="16.5" customHeight="1" x14ac:dyDescent="0.25">
      <c r="A42" s="120">
        <v>1</v>
      </c>
      <c r="B42" s="121" t="s">
        <v>39</v>
      </c>
      <c r="C42" s="122">
        <v>6.01</v>
      </c>
      <c r="D42" s="123">
        <f t="shared" si="5"/>
        <v>6.01</v>
      </c>
      <c r="E42" s="122">
        <f t="shared" si="6"/>
        <v>0</v>
      </c>
      <c r="F42" s="122">
        <f t="shared" si="0"/>
        <v>2.0033333333333334</v>
      </c>
      <c r="G42" s="122">
        <f t="shared" si="1"/>
        <v>2.0033333333333334</v>
      </c>
      <c r="H42" s="122">
        <f t="shared" si="8"/>
        <v>0.64106666666666667</v>
      </c>
      <c r="I42" s="127">
        <v>44232</v>
      </c>
      <c r="J42" s="124">
        <v>44232</v>
      </c>
      <c r="K42" s="240">
        <f t="shared" si="3"/>
        <v>0</v>
      </c>
      <c r="L42" s="359">
        <v>9.4799999999999995E-2</v>
      </c>
      <c r="M42" s="122">
        <f t="shared" si="9"/>
        <v>0.189916</v>
      </c>
    </row>
    <row r="43" spans="1:13" ht="16.5" customHeight="1" x14ac:dyDescent="0.25">
      <c r="A43" s="120">
        <v>1</v>
      </c>
      <c r="B43" s="121" t="s">
        <v>40</v>
      </c>
      <c r="C43" s="126">
        <v>9.76</v>
      </c>
      <c r="D43" s="123">
        <f t="shared" si="5"/>
        <v>9.76</v>
      </c>
      <c r="E43" s="122">
        <f t="shared" si="6"/>
        <v>0</v>
      </c>
      <c r="F43" s="122">
        <f t="shared" si="0"/>
        <v>3.2533333333333334</v>
      </c>
      <c r="G43" s="122">
        <f t="shared" si="1"/>
        <v>3.2533333333333334</v>
      </c>
      <c r="H43" s="122">
        <f t="shared" si="8"/>
        <v>1.0410666666666668</v>
      </c>
      <c r="I43" s="127">
        <v>44232</v>
      </c>
      <c r="J43" s="124">
        <v>44232</v>
      </c>
      <c r="K43" s="240">
        <f t="shared" si="3"/>
        <v>0</v>
      </c>
      <c r="L43" s="359">
        <v>9.4799999999999995E-2</v>
      </c>
      <c r="M43" s="122">
        <f t="shared" si="9"/>
        <v>0.30841599999999997</v>
      </c>
    </row>
    <row r="44" spans="1:13" ht="16.5" customHeight="1" x14ac:dyDescent="0.25">
      <c r="A44" s="120">
        <v>1</v>
      </c>
      <c r="B44" s="121" t="s">
        <v>41</v>
      </c>
      <c r="C44" s="126">
        <v>1031.99</v>
      </c>
      <c r="D44" s="123">
        <f t="shared" si="5"/>
        <v>1031.99</v>
      </c>
      <c r="E44" s="122">
        <f t="shared" si="6"/>
        <v>0</v>
      </c>
      <c r="F44" s="122">
        <f t="shared" si="0"/>
        <v>343.99666666666667</v>
      </c>
      <c r="G44" s="122">
        <f t="shared" si="1"/>
        <v>343.99666666666667</v>
      </c>
      <c r="H44" s="122">
        <f t="shared" si="8"/>
        <v>110.07893333333334</v>
      </c>
      <c r="I44" s="127">
        <v>44235</v>
      </c>
      <c r="J44" s="124">
        <v>44232</v>
      </c>
      <c r="K44" s="240">
        <f t="shared" si="3"/>
        <v>3</v>
      </c>
      <c r="L44" s="359">
        <v>9.4799999999999995E-2</v>
      </c>
      <c r="M44" s="122">
        <f t="shared" si="9"/>
        <v>32.610883999999999</v>
      </c>
    </row>
    <row r="45" spans="1:13" ht="16.5" customHeight="1" x14ac:dyDescent="0.25">
      <c r="A45" s="120">
        <v>1</v>
      </c>
      <c r="B45" s="121" t="s">
        <v>42</v>
      </c>
      <c r="C45" s="126">
        <v>1532.97</v>
      </c>
      <c r="D45" s="123">
        <f t="shared" si="5"/>
        <v>1532.97</v>
      </c>
      <c r="E45" s="122">
        <f t="shared" si="6"/>
        <v>0</v>
      </c>
      <c r="F45" s="122">
        <f t="shared" si="0"/>
        <v>510.99</v>
      </c>
      <c r="G45" s="122">
        <f t="shared" si="1"/>
        <v>510.99</v>
      </c>
      <c r="H45" s="122">
        <f t="shared" si="8"/>
        <v>163.51680000000002</v>
      </c>
      <c r="I45" s="127">
        <v>44235</v>
      </c>
      <c r="J45" s="124">
        <v>44232</v>
      </c>
      <c r="K45" s="240">
        <f t="shared" si="3"/>
        <v>3</v>
      </c>
      <c r="L45" s="359">
        <v>9.4799999999999995E-2</v>
      </c>
      <c r="M45" s="122">
        <f t="shared" si="9"/>
        <v>48.441851999999997</v>
      </c>
    </row>
    <row r="46" spans="1:13" ht="16.5" customHeight="1" x14ac:dyDescent="0.25">
      <c r="A46" s="120">
        <v>1</v>
      </c>
      <c r="B46" s="121" t="s">
        <v>43</v>
      </c>
      <c r="C46" s="126">
        <v>102.54</v>
      </c>
      <c r="D46" s="123">
        <f t="shared" si="5"/>
        <v>102.54</v>
      </c>
      <c r="E46" s="122">
        <f t="shared" si="6"/>
        <v>0</v>
      </c>
      <c r="F46" s="122">
        <f t="shared" si="0"/>
        <v>34.18</v>
      </c>
      <c r="G46" s="122">
        <f t="shared" si="1"/>
        <v>34.18</v>
      </c>
      <c r="H46" s="122">
        <f t="shared" si="8"/>
        <v>10.9376</v>
      </c>
      <c r="I46" s="127">
        <v>44232</v>
      </c>
      <c r="J46" s="124">
        <v>44232</v>
      </c>
      <c r="K46" s="240">
        <f t="shared" si="3"/>
        <v>0</v>
      </c>
      <c r="L46" s="359">
        <v>9.4799999999999995E-2</v>
      </c>
      <c r="M46" s="122">
        <f t="shared" si="9"/>
        <v>3.2402639999999998</v>
      </c>
    </row>
    <row r="47" spans="1:13" ht="16.5" customHeight="1" x14ac:dyDescent="0.25">
      <c r="A47" s="120">
        <v>1</v>
      </c>
      <c r="B47" s="121" t="s">
        <v>44</v>
      </c>
      <c r="C47" s="126">
        <v>5.63</v>
      </c>
      <c r="D47" s="123">
        <f>ROUND(C47*A47,2)</f>
        <v>5.63</v>
      </c>
      <c r="E47" s="122">
        <f>C47-D47</f>
        <v>0</v>
      </c>
      <c r="F47" s="122">
        <f t="shared" si="0"/>
        <v>1.8766666666666667</v>
      </c>
      <c r="G47" s="122">
        <f t="shared" si="1"/>
        <v>1.8766666666666667</v>
      </c>
      <c r="H47" s="122">
        <f t="shared" si="8"/>
        <v>0.60053333333333336</v>
      </c>
      <c r="I47" s="127">
        <v>44232</v>
      </c>
      <c r="J47" s="124">
        <v>44232</v>
      </c>
      <c r="K47" s="240">
        <f t="shared" si="3"/>
        <v>0</v>
      </c>
      <c r="L47" s="359">
        <v>9.4799999999999995E-2</v>
      </c>
      <c r="M47" s="122">
        <f t="shared" si="9"/>
        <v>0.17790799999999998</v>
      </c>
    </row>
    <row r="48" spans="1:13" ht="16.5" customHeight="1" x14ac:dyDescent="0.25">
      <c r="A48" s="120">
        <v>1</v>
      </c>
      <c r="B48" s="121" t="s">
        <v>46</v>
      </c>
      <c r="C48" s="126">
        <v>5.28</v>
      </c>
      <c r="D48" s="123">
        <f t="shared" si="5"/>
        <v>5.28</v>
      </c>
      <c r="E48" s="122">
        <f t="shared" si="6"/>
        <v>0</v>
      </c>
      <c r="F48" s="122">
        <f t="shared" si="0"/>
        <v>1.76</v>
      </c>
      <c r="G48" s="122">
        <f t="shared" si="1"/>
        <v>1.76</v>
      </c>
      <c r="H48" s="122">
        <f t="shared" si="8"/>
        <v>0.56320000000000003</v>
      </c>
      <c r="I48" s="127">
        <v>44232</v>
      </c>
      <c r="J48" s="124">
        <v>44232</v>
      </c>
      <c r="K48" s="240">
        <f t="shared" si="3"/>
        <v>0</v>
      </c>
      <c r="L48" s="359">
        <v>9.4799999999999995E-2</v>
      </c>
      <c r="M48" s="122">
        <f t="shared" si="9"/>
        <v>0.166848</v>
      </c>
    </row>
    <row r="49" spans="1:13" ht="16.5" customHeight="1" x14ac:dyDescent="0.25">
      <c r="A49" s="120">
        <v>1</v>
      </c>
      <c r="B49" s="121" t="s">
        <v>47</v>
      </c>
      <c r="C49" s="126">
        <v>6.63</v>
      </c>
      <c r="D49" s="123">
        <f t="shared" si="5"/>
        <v>6.63</v>
      </c>
      <c r="E49" s="122">
        <f t="shared" si="6"/>
        <v>0</v>
      </c>
      <c r="F49" s="122">
        <f t="shared" si="0"/>
        <v>2.21</v>
      </c>
      <c r="G49" s="122">
        <f t="shared" si="1"/>
        <v>2.21</v>
      </c>
      <c r="H49" s="122">
        <f t="shared" si="8"/>
        <v>0.70720000000000005</v>
      </c>
      <c r="I49" s="124">
        <v>44232</v>
      </c>
      <c r="J49" s="124">
        <v>44232</v>
      </c>
      <c r="K49" s="240">
        <f t="shared" si="3"/>
        <v>0</v>
      </c>
      <c r="L49" s="359">
        <v>9.4799999999999995E-2</v>
      </c>
      <c r="M49" s="122">
        <f t="shared" si="9"/>
        <v>0.209508</v>
      </c>
    </row>
    <row r="50" spans="1:13" ht="16.5" customHeight="1" x14ac:dyDescent="0.25">
      <c r="A50" s="120">
        <v>1</v>
      </c>
      <c r="B50" s="121" t="s">
        <v>48</v>
      </c>
      <c r="C50" s="126">
        <v>5.28</v>
      </c>
      <c r="D50" s="123">
        <f t="shared" si="5"/>
        <v>5.28</v>
      </c>
      <c r="E50" s="122">
        <f t="shared" si="6"/>
        <v>0</v>
      </c>
      <c r="F50" s="122">
        <f t="shared" si="0"/>
        <v>1.76</v>
      </c>
      <c r="G50" s="122">
        <f t="shared" si="1"/>
        <v>1.76</v>
      </c>
      <c r="H50" s="122">
        <f t="shared" si="8"/>
        <v>0.56320000000000003</v>
      </c>
      <c r="I50" s="127">
        <v>44232</v>
      </c>
      <c r="J50" s="124">
        <v>44232</v>
      </c>
      <c r="K50" s="240">
        <f t="shared" si="3"/>
        <v>0</v>
      </c>
      <c r="L50" s="359">
        <v>9.4799999999999995E-2</v>
      </c>
      <c r="M50" s="122">
        <f t="shared" si="9"/>
        <v>0.166848</v>
      </c>
    </row>
    <row r="51" spans="1:13" ht="16.5" customHeight="1" x14ac:dyDescent="0.25">
      <c r="A51" s="120">
        <v>1</v>
      </c>
      <c r="B51" s="121" t="s">
        <v>50</v>
      </c>
      <c r="C51" s="126">
        <v>1529.21</v>
      </c>
      <c r="D51" s="123">
        <f t="shared" si="5"/>
        <v>1529.21</v>
      </c>
      <c r="E51" s="122">
        <f t="shared" si="6"/>
        <v>0</v>
      </c>
      <c r="F51" s="122">
        <f t="shared" si="0"/>
        <v>509.73666666666668</v>
      </c>
      <c r="G51" s="122">
        <f t="shared" si="1"/>
        <v>509.73666666666668</v>
      </c>
      <c r="H51" s="122">
        <f t="shared" si="8"/>
        <v>163.11573333333334</v>
      </c>
      <c r="I51" s="127">
        <v>44232</v>
      </c>
      <c r="J51" s="124">
        <v>44232</v>
      </c>
      <c r="K51" s="240">
        <f t="shared" si="3"/>
        <v>0</v>
      </c>
      <c r="L51" s="359">
        <v>9.4799999999999995E-2</v>
      </c>
      <c r="M51" s="122">
        <f t="shared" si="9"/>
        <v>48.323036000000002</v>
      </c>
    </row>
    <row r="52" spans="1:13" ht="16.5" customHeight="1" x14ac:dyDescent="0.25">
      <c r="A52" s="120">
        <v>1</v>
      </c>
      <c r="B52" s="121" t="s">
        <v>51</v>
      </c>
      <c r="C52" s="126">
        <v>55.75</v>
      </c>
      <c r="D52" s="123">
        <f>ROUND(C52*A52,2)</f>
        <v>55.75</v>
      </c>
      <c r="E52" s="122">
        <f>C52-D52</f>
        <v>0</v>
      </c>
      <c r="F52" s="122">
        <f t="shared" si="0"/>
        <v>18.583333333333332</v>
      </c>
      <c r="G52" s="122">
        <f t="shared" si="1"/>
        <v>18.583333333333332</v>
      </c>
      <c r="H52" s="122">
        <f t="shared" si="8"/>
        <v>5.9466666666666663</v>
      </c>
      <c r="I52" s="127">
        <v>44232</v>
      </c>
      <c r="J52" s="124">
        <v>44232</v>
      </c>
      <c r="K52" s="240">
        <f t="shared" si="3"/>
        <v>0</v>
      </c>
      <c r="L52" s="359">
        <v>9.4799999999999995E-2</v>
      </c>
      <c r="M52" s="122">
        <f t="shared" si="9"/>
        <v>1.7616999999999998</v>
      </c>
    </row>
    <row r="53" spans="1:13" ht="16.5" customHeight="1" x14ac:dyDescent="0.25">
      <c r="A53" s="120">
        <v>1</v>
      </c>
      <c r="B53" s="121" t="s">
        <v>52</v>
      </c>
      <c r="C53" s="126">
        <v>54.63</v>
      </c>
      <c r="D53" s="123">
        <f>ROUND(C53*A53,2)</f>
        <v>54.63</v>
      </c>
      <c r="E53" s="122">
        <f>C53-D53</f>
        <v>0</v>
      </c>
      <c r="F53" s="122">
        <f t="shared" si="0"/>
        <v>18.21</v>
      </c>
      <c r="G53" s="122">
        <f t="shared" si="1"/>
        <v>18.21</v>
      </c>
      <c r="H53" s="122">
        <f t="shared" si="8"/>
        <v>5.8272000000000004</v>
      </c>
      <c r="I53" s="127">
        <v>44232</v>
      </c>
      <c r="J53" s="124">
        <v>44232</v>
      </c>
      <c r="K53" s="240">
        <f t="shared" si="3"/>
        <v>0</v>
      </c>
      <c r="L53" s="359">
        <v>9.4799999999999995E-2</v>
      </c>
      <c r="M53" s="122">
        <f t="shared" si="9"/>
        <v>1.726308</v>
      </c>
    </row>
    <row r="54" spans="1:13" ht="16.5" customHeight="1" x14ac:dyDescent="0.25">
      <c r="A54" s="120">
        <v>1</v>
      </c>
      <c r="B54" s="121" t="s">
        <v>53</v>
      </c>
      <c r="C54" s="126">
        <v>2434.9</v>
      </c>
      <c r="D54" s="123">
        <f t="shared" si="5"/>
        <v>2434.9</v>
      </c>
      <c r="E54" s="122">
        <f t="shared" si="6"/>
        <v>0</v>
      </c>
      <c r="F54" s="122">
        <f t="shared" si="0"/>
        <v>811.63333333333333</v>
      </c>
      <c r="G54" s="122">
        <f t="shared" si="1"/>
        <v>811.63333333333333</v>
      </c>
      <c r="H54" s="122">
        <f t="shared" si="8"/>
        <v>259.72266666666667</v>
      </c>
      <c r="I54" s="127">
        <v>44236</v>
      </c>
      <c r="J54" s="124">
        <v>44232</v>
      </c>
      <c r="K54" s="240">
        <f t="shared" si="3"/>
        <v>4</v>
      </c>
      <c r="L54" s="359">
        <v>9.4799999999999995E-2</v>
      </c>
      <c r="M54" s="122">
        <f t="shared" si="9"/>
        <v>76.94283999999999</v>
      </c>
    </row>
    <row r="55" spans="1:13" ht="16.5" customHeight="1" x14ac:dyDescent="0.25">
      <c r="A55" s="120">
        <v>1</v>
      </c>
      <c r="B55" s="121" t="s">
        <v>54</v>
      </c>
      <c r="C55" s="126">
        <v>9.9600000000000009</v>
      </c>
      <c r="D55" s="123">
        <f t="shared" si="5"/>
        <v>9.9600000000000009</v>
      </c>
      <c r="E55" s="122">
        <f t="shared" si="6"/>
        <v>0</v>
      </c>
      <c r="F55" s="122">
        <f t="shared" si="0"/>
        <v>3.3200000000000003</v>
      </c>
      <c r="G55" s="122">
        <f t="shared" si="1"/>
        <v>3.3200000000000003</v>
      </c>
      <c r="H55" s="122">
        <f t="shared" si="8"/>
        <v>1.0624</v>
      </c>
      <c r="I55" s="127">
        <v>44232</v>
      </c>
      <c r="J55" s="124">
        <v>44232</v>
      </c>
      <c r="K55" s="240">
        <f t="shared" si="3"/>
        <v>0</v>
      </c>
      <c r="L55" s="359">
        <v>9.4799999999999995E-2</v>
      </c>
      <c r="M55" s="122">
        <f t="shared" si="9"/>
        <v>0.31473600000000002</v>
      </c>
    </row>
    <row r="56" spans="1:13" ht="16.5" customHeight="1" x14ac:dyDescent="0.25">
      <c r="A56" s="120">
        <v>1</v>
      </c>
      <c r="B56" s="121" t="s">
        <v>55</v>
      </c>
      <c r="C56" s="126">
        <v>4.33</v>
      </c>
      <c r="D56" s="123">
        <f t="shared" si="5"/>
        <v>4.33</v>
      </c>
      <c r="E56" s="122">
        <f t="shared" si="6"/>
        <v>0</v>
      </c>
      <c r="F56" s="122">
        <f t="shared" si="0"/>
        <v>1.4433333333333334</v>
      </c>
      <c r="G56" s="122">
        <f t="shared" si="1"/>
        <v>1.4433333333333334</v>
      </c>
      <c r="H56" s="122">
        <f t="shared" si="8"/>
        <v>0.4618666666666667</v>
      </c>
      <c r="I56" s="127">
        <v>44232</v>
      </c>
      <c r="J56" s="124">
        <v>44232</v>
      </c>
      <c r="K56" s="240">
        <f t="shared" si="3"/>
        <v>0</v>
      </c>
      <c r="L56" s="359">
        <v>9.4799999999999995E-2</v>
      </c>
      <c r="M56" s="122">
        <f t="shared" si="9"/>
        <v>0.13682800000000001</v>
      </c>
    </row>
    <row r="57" spans="1:13" ht="16.5" customHeight="1" x14ac:dyDescent="0.25">
      <c r="A57" s="120">
        <v>1</v>
      </c>
      <c r="B57" s="121" t="s">
        <v>56</v>
      </c>
      <c r="C57" s="122">
        <v>0.53</v>
      </c>
      <c r="D57" s="123">
        <f>ROUND(C57*A57,2)</f>
        <v>0.53</v>
      </c>
      <c r="E57" s="122">
        <f>C57-D57</f>
        <v>0</v>
      </c>
      <c r="F57" s="122">
        <f t="shared" si="0"/>
        <v>0.17666666666666667</v>
      </c>
      <c r="G57" s="122">
        <f t="shared" si="1"/>
        <v>0.17666666666666667</v>
      </c>
      <c r="H57" s="122">
        <f t="shared" si="8"/>
        <v>5.6533333333333331E-2</v>
      </c>
      <c r="I57" s="127">
        <v>44232</v>
      </c>
      <c r="J57" s="124">
        <v>44232</v>
      </c>
      <c r="K57" s="240">
        <f t="shared" si="3"/>
        <v>0</v>
      </c>
      <c r="L57" s="359">
        <v>9.4799999999999995E-2</v>
      </c>
      <c r="M57" s="122">
        <f t="shared" si="9"/>
        <v>1.6747999999999999E-2</v>
      </c>
    </row>
    <row r="58" spans="1:13" ht="16.5" customHeight="1" x14ac:dyDescent="0.25">
      <c r="A58" s="120">
        <v>1</v>
      </c>
      <c r="B58" s="121" t="s">
        <v>57</v>
      </c>
      <c r="C58" s="126">
        <v>4.1500000000000004</v>
      </c>
      <c r="D58" s="123">
        <f t="shared" si="5"/>
        <v>4.1500000000000004</v>
      </c>
      <c r="E58" s="122">
        <f t="shared" si="6"/>
        <v>0</v>
      </c>
      <c r="F58" s="122">
        <f t="shared" si="0"/>
        <v>1.3833333333333335</v>
      </c>
      <c r="G58" s="122">
        <f t="shared" si="1"/>
        <v>1.3833333333333335</v>
      </c>
      <c r="H58" s="122">
        <f t="shared" si="8"/>
        <v>0.44266666666666676</v>
      </c>
      <c r="I58" s="127">
        <v>44232</v>
      </c>
      <c r="J58" s="124">
        <v>44232</v>
      </c>
      <c r="K58" s="240">
        <f t="shared" si="3"/>
        <v>0</v>
      </c>
      <c r="L58" s="359">
        <v>9.4799999999999995E-2</v>
      </c>
      <c r="M58" s="122">
        <f t="shared" si="9"/>
        <v>0.13114000000000001</v>
      </c>
    </row>
    <row r="59" spans="1:13" ht="16.5" customHeight="1" x14ac:dyDescent="0.25">
      <c r="A59" s="120">
        <v>1</v>
      </c>
      <c r="B59" s="121" t="s">
        <v>58</v>
      </c>
      <c r="C59" s="126">
        <v>3.87</v>
      </c>
      <c r="D59" s="123">
        <f t="shared" si="5"/>
        <v>3.87</v>
      </c>
      <c r="E59" s="122">
        <f t="shared" si="6"/>
        <v>0</v>
      </c>
      <c r="F59" s="122">
        <f t="shared" si="0"/>
        <v>1.29</v>
      </c>
      <c r="G59" s="122">
        <f t="shared" si="1"/>
        <v>1.29</v>
      </c>
      <c r="H59" s="122">
        <f t="shared" si="8"/>
        <v>0.4128</v>
      </c>
      <c r="I59" s="127">
        <v>44232</v>
      </c>
      <c r="J59" s="124">
        <v>44232</v>
      </c>
      <c r="K59" s="240">
        <f t="shared" si="3"/>
        <v>0</v>
      </c>
      <c r="L59" s="359">
        <v>9.4799999999999995E-2</v>
      </c>
      <c r="M59" s="122">
        <f t="shared" si="9"/>
        <v>0.122292</v>
      </c>
    </row>
    <row r="60" spans="1:13" s="95" customFormat="1" ht="16.5" customHeight="1" x14ac:dyDescent="0.25">
      <c r="A60" s="120">
        <v>1</v>
      </c>
      <c r="B60" s="121" t="s">
        <v>59</v>
      </c>
      <c r="C60" s="126">
        <v>4.68</v>
      </c>
      <c r="D60" s="123">
        <f>ROUND(C60*A60,2)</f>
        <v>4.68</v>
      </c>
      <c r="E60" s="122">
        <f>C60-D60</f>
        <v>0</v>
      </c>
      <c r="F60" s="122">
        <f t="shared" si="0"/>
        <v>1.5599999999999998</v>
      </c>
      <c r="G60" s="122">
        <f t="shared" si="1"/>
        <v>1.5599999999999998</v>
      </c>
      <c r="H60" s="122">
        <f t="shared" si="8"/>
        <v>0.49919999999999998</v>
      </c>
      <c r="I60" s="127">
        <v>44232</v>
      </c>
      <c r="J60" s="124">
        <v>44232</v>
      </c>
      <c r="K60" s="240">
        <f t="shared" si="3"/>
        <v>0</v>
      </c>
      <c r="L60" s="359">
        <v>9.4799999999999995E-2</v>
      </c>
      <c r="M60" s="122">
        <f t="shared" si="9"/>
        <v>0.14788799999999996</v>
      </c>
    </row>
    <row r="61" spans="1:13" ht="16.5" customHeight="1" x14ac:dyDescent="0.25">
      <c r="A61" s="120">
        <v>1</v>
      </c>
      <c r="B61" s="121" t="s">
        <v>60</v>
      </c>
      <c r="C61" s="126">
        <v>4.68</v>
      </c>
      <c r="D61" s="123">
        <f>ROUND(C61*A61,2)</f>
        <v>4.68</v>
      </c>
      <c r="E61" s="122">
        <f>C61-D61</f>
        <v>0</v>
      </c>
      <c r="F61" s="122">
        <f t="shared" si="0"/>
        <v>1.5599999999999998</v>
      </c>
      <c r="G61" s="122">
        <f t="shared" si="1"/>
        <v>1.5599999999999998</v>
      </c>
      <c r="H61" s="122">
        <f t="shared" si="8"/>
        <v>0.49919999999999998</v>
      </c>
      <c r="I61" s="127">
        <v>44232</v>
      </c>
      <c r="J61" s="124">
        <v>44232</v>
      </c>
      <c r="K61" s="240">
        <f t="shared" si="3"/>
        <v>0</v>
      </c>
      <c r="L61" s="359">
        <v>9.4799999999999995E-2</v>
      </c>
      <c r="M61" s="122">
        <f t="shared" si="9"/>
        <v>0.14788799999999996</v>
      </c>
    </row>
    <row r="62" spans="1:13" ht="16.5" customHeight="1" x14ac:dyDescent="0.25">
      <c r="A62" s="120">
        <v>1</v>
      </c>
      <c r="B62" s="121" t="s">
        <v>61</v>
      </c>
      <c r="C62" s="126">
        <v>54.11</v>
      </c>
      <c r="D62" s="123">
        <f t="shared" si="5"/>
        <v>54.11</v>
      </c>
      <c r="E62" s="122">
        <f t="shared" ref="E62:E95" si="10">C62-D62</f>
        <v>0</v>
      </c>
      <c r="F62" s="122">
        <f t="shared" si="0"/>
        <v>18.036666666666665</v>
      </c>
      <c r="G62" s="122">
        <f t="shared" si="1"/>
        <v>18.036666666666665</v>
      </c>
      <c r="H62" s="122">
        <f t="shared" si="8"/>
        <v>5.7717333333333327</v>
      </c>
      <c r="I62" s="127">
        <v>44232</v>
      </c>
      <c r="J62" s="124">
        <v>44232</v>
      </c>
      <c r="K62" s="240">
        <f t="shared" si="3"/>
        <v>0</v>
      </c>
      <c r="L62" s="359">
        <v>9.4799999999999995E-2</v>
      </c>
      <c r="M62" s="122">
        <f t="shared" si="9"/>
        <v>1.7098759999999997</v>
      </c>
    </row>
    <row r="63" spans="1:13" ht="16.5" customHeight="1" x14ac:dyDescent="0.25">
      <c r="A63" s="120">
        <v>1</v>
      </c>
      <c r="B63" s="121" t="s">
        <v>62</v>
      </c>
      <c r="C63" s="126">
        <v>2.85</v>
      </c>
      <c r="D63" s="123">
        <f t="shared" si="5"/>
        <v>2.85</v>
      </c>
      <c r="E63" s="122">
        <f t="shared" si="10"/>
        <v>0</v>
      </c>
      <c r="F63" s="122">
        <f t="shared" si="0"/>
        <v>0.95000000000000007</v>
      </c>
      <c r="G63" s="122">
        <f t="shared" si="1"/>
        <v>0.95000000000000007</v>
      </c>
      <c r="H63" s="122">
        <f t="shared" si="8"/>
        <v>0.30400000000000005</v>
      </c>
      <c r="I63" s="127">
        <v>44232</v>
      </c>
      <c r="J63" s="124">
        <v>44232</v>
      </c>
      <c r="K63" s="240">
        <f t="shared" si="3"/>
        <v>0</v>
      </c>
      <c r="L63" s="359">
        <v>9.4799999999999995E-2</v>
      </c>
      <c r="M63" s="122">
        <f t="shared" si="9"/>
        <v>9.0060000000000001E-2</v>
      </c>
    </row>
    <row r="64" spans="1:13" ht="16.5" customHeight="1" x14ac:dyDescent="0.25">
      <c r="A64" s="120">
        <v>1</v>
      </c>
      <c r="B64" s="121" t="s">
        <v>64</v>
      </c>
      <c r="C64" s="126">
        <v>10.79</v>
      </c>
      <c r="D64" s="123">
        <f t="shared" si="5"/>
        <v>10.79</v>
      </c>
      <c r="E64" s="122">
        <f t="shared" si="10"/>
        <v>0</v>
      </c>
      <c r="F64" s="122">
        <f t="shared" si="0"/>
        <v>3.5966666666666662</v>
      </c>
      <c r="G64" s="122">
        <f t="shared" si="1"/>
        <v>3.5966666666666662</v>
      </c>
      <c r="H64" s="122">
        <f t="shared" si="8"/>
        <v>1.1509333333333331</v>
      </c>
      <c r="I64" s="127">
        <v>44232</v>
      </c>
      <c r="J64" s="124">
        <v>44232</v>
      </c>
      <c r="K64" s="240">
        <f t="shared" si="3"/>
        <v>0</v>
      </c>
      <c r="L64" s="359">
        <v>9.4799999999999995E-2</v>
      </c>
      <c r="M64" s="122">
        <f t="shared" si="9"/>
        <v>0.34096399999999993</v>
      </c>
    </row>
    <row r="65" spans="1:13" ht="16.5" customHeight="1" x14ac:dyDescent="0.25">
      <c r="A65" s="120">
        <v>1</v>
      </c>
      <c r="B65" s="121" t="s">
        <v>65</v>
      </c>
      <c r="C65" s="126">
        <v>884.49</v>
      </c>
      <c r="D65" s="123">
        <f t="shared" si="5"/>
        <v>884.49</v>
      </c>
      <c r="E65" s="122">
        <f t="shared" si="10"/>
        <v>0</v>
      </c>
      <c r="F65" s="122">
        <f t="shared" si="0"/>
        <v>294.83</v>
      </c>
      <c r="G65" s="122">
        <f t="shared" si="1"/>
        <v>294.83</v>
      </c>
      <c r="H65" s="122">
        <f t="shared" si="8"/>
        <v>94.34559999999999</v>
      </c>
      <c r="I65" s="127">
        <v>44232</v>
      </c>
      <c r="J65" s="124">
        <v>44232</v>
      </c>
      <c r="K65" s="240">
        <f t="shared" si="3"/>
        <v>0</v>
      </c>
      <c r="L65" s="359">
        <v>9.4799999999999995E-2</v>
      </c>
      <c r="M65" s="122">
        <f t="shared" si="9"/>
        <v>27.949883999999997</v>
      </c>
    </row>
    <row r="66" spans="1:13" ht="16.5" customHeight="1" x14ac:dyDescent="0.25">
      <c r="A66" s="120">
        <v>1</v>
      </c>
      <c r="B66" s="121" t="s">
        <v>66</v>
      </c>
      <c r="C66" s="126">
        <v>1061.5999999999999</v>
      </c>
      <c r="D66" s="123">
        <f t="shared" si="5"/>
        <v>1061.5999999999999</v>
      </c>
      <c r="E66" s="122">
        <f t="shared" si="10"/>
        <v>0</v>
      </c>
      <c r="F66" s="122">
        <f t="shared" ref="F66:F97" si="11">C66/3</f>
        <v>353.86666666666662</v>
      </c>
      <c r="G66" s="122">
        <f t="shared" ref="G66:G97" si="12">E66+F66</f>
        <v>353.86666666666662</v>
      </c>
      <c r="H66" s="122">
        <f t="shared" si="8"/>
        <v>113.23733333333332</v>
      </c>
      <c r="I66" s="127">
        <v>44236</v>
      </c>
      <c r="J66" s="124">
        <v>44232</v>
      </c>
      <c r="K66" s="240">
        <f t="shared" ref="K66:K95" si="13">I66-J66</f>
        <v>4</v>
      </c>
      <c r="L66" s="359">
        <v>9.4799999999999995E-2</v>
      </c>
      <c r="M66" s="122">
        <f t="shared" si="9"/>
        <v>33.546559999999992</v>
      </c>
    </row>
    <row r="67" spans="1:13" ht="16.5" customHeight="1" x14ac:dyDescent="0.25">
      <c r="A67" s="120">
        <v>1</v>
      </c>
      <c r="B67" s="121" t="s">
        <v>67</v>
      </c>
      <c r="C67" s="126">
        <v>766.96</v>
      </c>
      <c r="D67" s="123">
        <f t="shared" ref="D67:D95" si="14">ROUND(C67*A67,2)</f>
        <v>766.96</v>
      </c>
      <c r="E67" s="122">
        <f t="shared" si="10"/>
        <v>0</v>
      </c>
      <c r="F67" s="122">
        <f t="shared" si="11"/>
        <v>255.65333333333334</v>
      </c>
      <c r="G67" s="122">
        <f t="shared" si="12"/>
        <v>255.65333333333334</v>
      </c>
      <c r="H67" s="122">
        <f t="shared" si="8"/>
        <v>81.809066666666666</v>
      </c>
      <c r="I67" s="127">
        <v>44232</v>
      </c>
      <c r="J67" s="124">
        <v>44232</v>
      </c>
      <c r="K67" s="240">
        <f t="shared" si="13"/>
        <v>0</v>
      </c>
      <c r="L67" s="359">
        <v>9.4799999999999995E-2</v>
      </c>
      <c r="M67" s="122">
        <f t="shared" si="9"/>
        <v>24.235935999999999</v>
      </c>
    </row>
    <row r="68" spans="1:13" ht="16.5" customHeight="1" x14ac:dyDescent="0.25">
      <c r="A68" s="120">
        <v>1</v>
      </c>
      <c r="B68" s="121" t="s">
        <v>68</v>
      </c>
      <c r="C68" s="126">
        <v>1266.4100000000001</v>
      </c>
      <c r="D68" s="123">
        <f t="shared" si="14"/>
        <v>1266.4100000000001</v>
      </c>
      <c r="E68" s="122">
        <f t="shared" si="10"/>
        <v>0</v>
      </c>
      <c r="F68" s="122">
        <f t="shared" si="11"/>
        <v>422.13666666666671</v>
      </c>
      <c r="G68" s="122">
        <f t="shared" si="12"/>
        <v>422.13666666666671</v>
      </c>
      <c r="H68" s="122">
        <f t="shared" si="8"/>
        <v>135.08373333333336</v>
      </c>
      <c r="I68" s="127">
        <v>44235</v>
      </c>
      <c r="J68" s="124">
        <v>44232</v>
      </c>
      <c r="K68" s="240">
        <f t="shared" si="13"/>
        <v>3</v>
      </c>
      <c r="L68" s="359">
        <v>9.4799999999999995E-2</v>
      </c>
      <c r="M68" s="122">
        <f t="shared" si="9"/>
        <v>40.018556000000004</v>
      </c>
    </row>
    <row r="69" spans="1:13" ht="16.5" customHeight="1" x14ac:dyDescent="0.25">
      <c r="A69" s="120">
        <v>1</v>
      </c>
      <c r="B69" s="121" t="s">
        <v>71</v>
      </c>
      <c r="C69" s="126">
        <v>2.85</v>
      </c>
      <c r="D69" s="123">
        <f t="shared" si="14"/>
        <v>2.85</v>
      </c>
      <c r="E69" s="122">
        <f t="shared" si="10"/>
        <v>0</v>
      </c>
      <c r="F69" s="122">
        <f t="shared" si="11"/>
        <v>0.95000000000000007</v>
      </c>
      <c r="G69" s="122">
        <f t="shared" si="12"/>
        <v>0.95000000000000007</v>
      </c>
      <c r="H69" s="122">
        <f t="shared" si="8"/>
        <v>0.30400000000000005</v>
      </c>
      <c r="I69" s="124">
        <v>44232</v>
      </c>
      <c r="J69" s="124">
        <v>44232</v>
      </c>
      <c r="K69" s="240">
        <f t="shared" si="13"/>
        <v>0</v>
      </c>
      <c r="L69" s="359">
        <v>9.4799999999999995E-2</v>
      </c>
      <c r="M69" s="122">
        <f t="shared" si="9"/>
        <v>9.0060000000000001E-2</v>
      </c>
    </row>
    <row r="70" spans="1:13" ht="16.5" customHeight="1" x14ac:dyDescent="0.25">
      <c r="A70" s="120">
        <v>1</v>
      </c>
      <c r="B70" s="121" t="s">
        <v>72</v>
      </c>
      <c r="C70" s="126">
        <v>102.54</v>
      </c>
      <c r="D70" s="123">
        <f t="shared" si="14"/>
        <v>102.54</v>
      </c>
      <c r="E70" s="122">
        <f t="shared" si="10"/>
        <v>0</v>
      </c>
      <c r="F70" s="122">
        <f t="shared" si="11"/>
        <v>34.18</v>
      </c>
      <c r="G70" s="122">
        <f t="shared" si="12"/>
        <v>34.18</v>
      </c>
      <c r="H70" s="122">
        <f t="shared" si="8"/>
        <v>10.9376</v>
      </c>
      <c r="I70" s="124">
        <v>44232</v>
      </c>
      <c r="J70" s="124">
        <v>44232</v>
      </c>
      <c r="K70" s="240">
        <f t="shared" si="13"/>
        <v>0</v>
      </c>
      <c r="L70" s="359">
        <v>9.4799999999999995E-2</v>
      </c>
      <c r="M70" s="122">
        <f t="shared" si="9"/>
        <v>3.2402639999999998</v>
      </c>
    </row>
    <row r="71" spans="1:13" ht="16.5" customHeight="1" x14ac:dyDescent="0.25">
      <c r="A71" s="120">
        <v>1</v>
      </c>
      <c r="B71" s="121" t="s">
        <v>73</v>
      </c>
      <c r="C71" s="126">
        <v>1428.93</v>
      </c>
      <c r="D71" s="123">
        <f t="shared" si="14"/>
        <v>1428.93</v>
      </c>
      <c r="E71" s="122">
        <f t="shared" si="10"/>
        <v>0</v>
      </c>
      <c r="F71" s="122">
        <f t="shared" si="11"/>
        <v>476.31</v>
      </c>
      <c r="G71" s="122">
        <f t="shared" si="12"/>
        <v>476.31</v>
      </c>
      <c r="H71" s="122">
        <f t="shared" si="8"/>
        <v>152.41920000000002</v>
      </c>
      <c r="I71" s="124">
        <v>44235</v>
      </c>
      <c r="J71" s="124">
        <v>44232</v>
      </c>
      <c r="K71" s="240">
        <f t="shared" si="13"/>
        <v>3</v>
      </c>
      <c r="L71" s="359">
        <v>9.4799999999999995E-2</v>
      </c>
      <c r="M71" s="122">
        <f t="shared" si="9"/>
        <v>45.154187999999998</v>
      </c>
    </row>
    <row r="72" spans="1:13" ht="16.5" customHeight="1" x14ac:dyDescent="0.25">
      <c r="A72" s="120">
        <v>1</v>
      </c>
      <c r="B72" s="121" t="s">
        <v>74</v>
      </c>
      <c r="C72" s="126">
        <v>3498.01</v>
      </c>
      <c r="D72" s="123">
        <f t="shared" si="14"/>
        <v>3498.01</v>
      </c>
      <c r="E72" s="122">
        <f t="shared" si="10"/>
        <v>0</v>
      </c>
      <c r="F72" s="122">
        <f t="shared" si="11"/>
        <v>1166.0033333333333</v>
      </c>
      <c r="G72" s="122">
        <f t="shared" si="12"/>
        <v>1166.0033333333333</v>
      </c>
      <c r="H72" s="122">
        <f t="shared" si="8"/>
        <v>373.12106666666665</v>
      </c>
      <c r="I72" s="124">
        <v>44236</v>
      </c>
      <c r="J72" s="124">
        <v>44232</v>
      </c>
      <c r="K72" s="240">
        <f t="shared" si="13"/>
        <v>4</v>
      </c>
      <c r="L72" s="359">
        <v>9.4799999999999995E-2</v>
      </c>
      <c r="M72" s="122">
        <f t="shared" si="9"/>
        <v>110.537116</v>
      </c>
    </row>
    <row r="73" spans="1:13" ht="16.5" customHeight="1" x14ac:dyDescent="0.25">
      <c r="A73" s="120">
        <v>1</v>
      </c>
      <c r="B73" s="121" t="s">
        <v>75</v>
      </c>
      <c r="C73" s="126">
        <v>1153.8800000000001</v>
      </c>
      <c r="D73" s="123">
        <f t="shared" si="14"/>
        <v>1153.8800000000001</v>
      </c>
      <c r="E73" s="122">
        <f t="shared" si="10"/>
        <v>0</v>
      </c>
      <c r="F73" s="122">
        <f t="shared" si="11"/>
        <v>384.62666666666672</v>
      </c>
      <c r="G73" s="122">
        <f t="shared" si="12"/>
        <v>384.62666666666672</v>
      </c>
      <c r="H73" s="122">
        <f t="shared" si="8"/>
        <v>123.08053333333335</v>
      </c>
      <c r="I73" s="124">
        <v>44232</v>
      </c>
      <c r="J73" s="124">
        <v>44232</v>
      </c>
      <c r="K73" s="240">
        <f t="shared" si="13"/>
        <v>0</v>
      </c>
      <c r="L73" s="359">
        <v>9.4799999999999995E-2</v>
      </c>
      <c r="M73" s="122">
        <f t="shared" si="9"/>
        <v>36.462608000000003</v>
      </c>
    </row>
    <row r="74" spans="1:13" ht="16.5" customHeight="1" x14ac:dyDescent="0.25">
      <c r="A74" s="120">
        <v>1</v>
      </c>
      <c r="B74" s="121" t="s">
        <v>76</v>
      </c>
      <c r="C74" s="126">
        <v>10.08</v>
      </c>
      <c r="D74" s="123">
        <f t="shared" si="14"/>
        <v>10.08</v>
      </c>
      <c r="E74" s="122">
        <f t="shared" si="10"/>
        <v>0</v>
      </c>
      <c r="F74" s="122">
        <f t="shared" si="11"/>
        <v>3.36</v>
      </c>
      <c r="G74" s="122">
        <f t="shared" si="12"/>
        <v>3.36</v>
      </c>
      <c r="H74" s="122">
        <f t="shared" si="8"/>
        <v>1.0751999999999999</v>
      </c>
      <c r="I74" s="124">
        <v>44232</v>
      </c>
      <c r="J74" s="124">
        <v>44232</v>
      </c>
      <c r="K74" s="240">
        <f t="shared" si="13"/>
        <v>0</v>
      </c>
      <c r="L74" s="359">
        <v>9.4799999999999995E-2</v>
      </c>
      <c r="M74" s="122">
        <f t="shared" si="9"/>
        <v>0.31852799999999998</v>
      </c>
    </row>
    <row r="75" spans="1:13" ht="16.5" customHeight="1" x14ac:dyDescent="0.25">
      <c r="A75" s="120">
        <v>1</v>
      </c>
      <c r="B75" s="121" t="s">
        <v>77</v>
      </c>
      <c r="C75" s="126">
        <v>1533.01</v>
      </c>
      <c r="D75" s="123">
        <f t="shared" si="14"/>
        <v>1533.01</v>
      </c>
      <c r="E75" s="122">
        <f t="shared" si="10"/>
        <v>0</v>
      </c>
      <c r="F75" s="122">
        <f t="shared" si="11"/>
        <v>511.00333333333333</v>
      </c>
      <c r="G75" s="122">
        <f t="shared" si="12"/>
        <v>511.00333333333333</v>
      </c>
      <c r="H75" s="122">
        <f t="shared" si="8"/>
        <v>163.52106666666666</v>
      </c>
      <c r="I75" s="124">
        <v>44232</v>
      </c>
      <c r="J75" s="124">
        <v>44232</v>
      </c>
      <c r="K75" s="240">
        <f t="shared" si="13"/>
        <v>0</v>
      </c>
      <c r="L75" s="359">
        <v>9.4799999999999995E-2</v>
      </c>
      <c r="M75" s="122">
        <f t="shared" si="9"/>
        <v>48.443115999999996</v>
      </c>
    </row>
    <row r="76" spans="1:13" ht="16.5" customHeight="1" x14ac:dyDescent="0.25">
      <c r="A76" s="120">
        <v>1</v>
      </c>
      <c r="B76" s="121" t="s">
        <v>78</v>
      </c>
      <c r="C76" s="126">
        <v>3147.25</v>
      </c>
      <c r="D76" s="123">
        <f t="shared" si="14"/>
        <v>3147.25</v>
      </c>
      <c r="E76" s="122">
        <f t="shared" si="10"/>
        <v>0</v>
      </c>
      <c r="F76" s="122">
        <f t="shared" si="11"/>
        <v>1049.0833333333333</v>
      </c>
      <c r="G76" s="122">
        <f t="shared" si="12"/>
        <v>1049.0833333333333</v>
      </c>
      <c r="H76" s="122">
        <f t="shared" si="8"/>
        <v>335.70666666666665</v>
      </c>
      <c r="I76" s="124">
        <v>44236</v>
      </c>
      <c r="J76" s="124">
        <v>44232</v>
      </c>
      <c r="K76" s="240">
        <f t="shared" si="13"/>
        <v>4</v>
      </c>
      <c r="L76" s="359">
        <v>9.4799999999999995E-2</v>
      </c>
      <c r="M76" s="122">
        <f t="shared" si="9"/>
        <v>99.453099999999992</v>
      </c>
    </row>
    <row r="77" spans="1:13" ht="16.5" customHeight="1" x14ac:dyDescent="0.25">
      <c r="A77" s="120">
        <v>1</v>
      </c>
      <c r="B77" s="121" t="s">
        <v>79</v>
      </c>
      <c r="C77" s="126">
        <v>770.84</v>
      </c>
      <c r="D77" s="123">
        <f t="shared" si="14"/>
        <v>770.84</v>
      </c>
      <c r="E77" s="122">
        <f t="shared" si="10"/>
        <v>0</v>
      </c>
      <c r="F77" s="122">
        <f t="shared" si="11"/>
        <v>256.94666666666666</v>
      </c>
      <c r="G77" s="122">
        <f t="shared" si="12"/>
        <v>256.94666666666666</v>
      </c>
      <c r="H77" s="122">
        <f t="shared" si="8"/>
        <v>82.22293333333333</v>
      </c>
      <c r="I77" s="124">
        <v>44232</v>
      </c>
      <c r="J77" s="124">
        <v>44232</v>
      </c>
      <c r="K77" s="240">
        <f t="shared" si="13"/>
        <v>0</v>
      </c>
      <c r="L77" s="359">
        <v>9.4799999999999995E-2</v>
      </c>
      <c r="M77" s="122">
        <f t="shared" si="9"/>
        <v>24.358543999999998</v>
      </c>
    </row>
    <row r="78" spans="1:13" ht="16.5" customHeight="1" x14ac:dyDescent="0.25">
      <c r="A78" s="120">
        <v>1</v>
      </c>
      <c r="B78" s="121" t="s">
        <v>80</v>
      </c>
      <c r="C78" s="126">
        <v>1911.53</v>
      </c>
      <c r="D78" s="123">
        <f t="shared" si="14"/>
        <v>1911.53</v>
      </c>
      <c r="E78" s="122">
        <f t="shared" si="10"/>
        <v>0</v>
      </c>
      <c r="F78" s="122">
        <f t="shared" si="11"/>
        <v>637.17666666666662</v>
      </c>
      <c r="G78" s="122">
        <f t="shared" si="12"/>
        <v>637.17666666666662</v>
      </c>
      <c r="H78" s="122">
        <f t="shared" si="8"/>
        <v>203.89653333333331</v>
      </c>
      <c r="I78" s="124">
        <v>44235</v>
      </c>
      <c r="J78" s="124">
        <v>44232</v>
      </c>
      <c r="K78" s="240">
        <f t="shared" si="13"/>
        <v>3</v>
      </c>
      <c r="L78" s="359">
        <v>9.4799999999999995E-2</v>
      </c>
      <c r="M78" s="122">
        <f t="shared" si="9"/>
        <v>60.404347999999992</v>
      </c>
    </row>
    <row r="79" spans="1:13" ht="16.5" customHeight="1" x14ac:dyDescent="0.25">
      <c r="A79" s="120">
        <v>1</v>
      </c>
      <c r="B79" s="121" t="s">
        <v>81</v>
      </c>
      <c r="C79" s="126">
        <v>1533.17</v>
      </c>
      <c r="D79" s="123">
        <f t="shared" si="14"/>
        <v>1533.17</v>
      </c>
      <c r="E79" s="122">
        <f t="shared" si="10"/>
        <v>0</v>
      </c>
      <c r="F79" s="122">
        <f t="shared" si="11"/>
        <v>511.05666666666667</v>
      </c>
      <c r="G79" s="122">
        <f t="shared" si="12"/>
        <v>511.05666666666667</v>
      </c>
      <c r="H79" s="122">
        <f t="shared" si="8"/>
        <v>163.53813333333335</v>
      </c>
      <c r="I79" s="124">
        <v>44235</v>
      </c>
      <c r="J79" s="124">
        <v>44232</v>
      </c>
      <c r="K79" s="240">
        <f t="shared" si="13"/>
        <v>3</v>
      </c>
      <c r="L79" s="359">
        <v>9.4799999999999995E-2</v>
      </c>
      <c r="M79" s="122">
        <f t="shared" si="9"/>
        <v>48.448172</v>
      </c>
    </row>
    <row r="80" spans="1:13" ht="16.5" customHeight="1" x14ac:dyDescent="0.25">
      <c r="A80" s="120">
        <v>1</v>
      </c>
      <c r="B80" s="121" t="s">
        <v>82</v>
      </c>
      <c r="C80" s="126">
        <v>1533.01</v>
      </c>
      <c r="D80" s="123">
        <f t="shared" si="14"/>
        <v>1533.01</v>
      </c>
      <c r="E80" s="122">
        <f t="shared" si="10"/>
        <v>0</v>
      </c>
      <c r="F80" s="122">
        <f t="shared" si="11"/>
        <v>511.00333333333333</v>
      </c>
      <c r="G80" s="122">
        <f t="shared" si="12"/>
        <v>511.00333333333333</v>
      </c>
      <c r="H80" s="122">
        <f t="shared" si="8"/>
        <v>163.52106666666666</v>
      </c>
      <c r="I80" s="124">
        <v>44235</v>
      </c>
      <c r="J80" s="124">
        <v>44232</v>
      </c>
      <c r="K80" s="240">
        <f t="shared" si="13"/>
        <v>3</v>
      </c>
      <c r="L80" s="359">
        <v>9.4799999999999995E-2</v>
      </c>
      <c r="M80" s="122">
        <f t="shared" si="9"/>
        <v>48.443115999999996</v>
      </c>
    </row>
    <row r="81" spans="1:13" ht="16.5" customHeight="1" x14ac:dyDescent="0.25">
      <c r="A81" s="120">
        <v>1</v>
      </c>
      <c r="B81" s="121" t="s">
        <v>84</v>
      </c>
      <c r="C81" s="126">
        <v>51.8</v>
      </c>
      <c r="D81" s="123">
        <f t="shared" si="14"/>
        <v>51.8</v>
      </c>
      <c r="E81" s="122">
        <f t="shared" si="10"/>
        <v>0</v>
      </c>
      <c r="F81" s="122">
        <f t="shared" si="11"/>
        <v>17.266666666666666</v>
      </c>
      <c r="G81" s="122">
        <f t="shared" si="12"/>
        <v>17.266666666666666</v>
      </c>
      <c r="H81" s="122">
        <f t="shared" si="8"/>
        <v>5.5253333333333332</v>
      </c>
      <c r="I81" s="124">
        <v>44232</v>
      </c>
      <c r="J81" s="124">
        <v>44232</v>
      </c>
      <c r="K81" s="240">
        <f t="shared" si="13"/>
        <v>0</v>
      </c>
      <c r="L81" s="359">
        <v>9.4799999999999995E-2</v>
      </c>
      <c r="M81" s="122">
        <f t="shared" si="9"/>
        <v>1.6368799999999999</v>
      </c>
    </row>
    <row r="82" spans="1:13" ht="16.5" customHeight="1" x14ac:dyDescent="0.25">
      <c r="A82" s="120">
        <v>1</v>
      </c>
      <c r="B82" s="121" t="s">
        <v>85</v>
      </c>
      <c r="C82" s="126">
        <v>5.96</v>
      </c>
      <c r="D82" s="123">
        <f t="shared" si="14"/>
        <v>5.96</v>
      </c>
      <c r="E82" s="122">
        <f t="shared" si="10"/>
        <v>0</v>
      </c>
      <c r="F82" s="122">
        <f t="shared" si="11"/>
        <v>1.9866666666666666</v>
      </c>
      <c r="G82" s="122">
        <f t="shared" si="12"/>
        <v>1.9866666666666666</v>
      </c>
      <c r="H82" s="122">
        <f t="shared" si="8"/>
        <v>0.63573333333333337</v>
      </c>
      <c r="I82" s="124">
        <v>44232</v>
      </c>
      <c r="J82" s="124">
        <v>44232</v>
      </c>
      <c r="K82" s="240">
        <f t="shared" si="13"/>
        <v>0</v>
      </c>
      <c r="L82" s="359">
        <v>9.4799999999999995E-2</v>
      </c>
      <c r="M82" s="122">
        <f t="shared" si="9"/>
        <v>0.18833599999999998</v>
      </c>
    </row>
    <row r="83" spans="1:13" ht="16.5" customHeight="1" x14ac:dyDescent="0.25">
      <c r="A83" s="120">
        <v>1</v>
      </c>
      <c r="B83" s="121" t="s">
        <v>87</v>
      </c>
      <c r="C83" s="126">
        <v>0.72</v>
      </c>
      <c r="D83" s="123">
        <f t="shared" si="14"/>
        <v>0.72</v>
      </c>
      <c r="E83" s="122">
        <f t="shared" si="10"/>
        <v>0</v>
      </c>
      <c r="F83" s="122">
        <f t="shared" si="11"/>
        <v>0.24</v>
      </c>
      <c r="G83" s="122">
        <f t="shared" si="12"/>
        <v>0.24</v>
      </c>
      <c r="H83" s="122">
        <f t="shared" si="8"/>
        <v>7.6799999999999993E-2</v>
      </c>
      <c r="I83" s="124">
        <v>44232</v>
      </c>
      <c r="J83" s="124">
        <v>44232</v>
      </c>
      <c r="K83" s="240">
        <f t="shared" si="13"/>
        <v>0</v>
      </c>
      <c r="L83" s="359">
        <v>9.4799999999999995E-2</v>
      </c>
      <c r="M83" s="122">
        <f t="shared" si="9"/>
        <v>2.2751999999999998E-2</v>
      </c>
    </row>
    <row r="84" spans="1:13" ht="16.5" customHeight="1" x14ac:dyDescent="0.25">
      <c r="A84" s="120">
        <v>1</v>
      </c>
      <c r="B84" s="121" t="s">
        <v>88</v>
      </c>
      <c r="C84" s="126">
        <v>102.54</v>
      </c>
      <c r="D84" s="123">
        <f t="shared" si="14"/>
        <v>102.54</v>
      </c>
      <c r="E84" s="122">
        <f t="shared" si="10"/>
        <v>0</v>
      </c>
      <c r="F84" s="122">
        <f t="shared" si="11"/>
        <v>34.18</v>
      </c>
      <c r="G84" s="122">
        <f t="shared" si="12"/>
        <v>34.18</v>
      </c>
      <c r="H84" s="122">
        <f t="shared" si="8"/>
        <v>10.9376</v>
      </c>
      <c r="I84" s="124">
        <v>44232</v>
      </c>
      <c r="J84" s="124">
        <v>44232</v>
      </c>
      <c r="K84" s="240">
        <f t="shared" si="13"/>
        <v>0</v>
      </c>
      <c r="L84" s="359">
        <v>9.4799999999999995E-2</v>
      </c>
      <c r="M84" s="122">
        <f t="shared" si="9"/>
        <v>3.2402639999999998</v>
      </c>
    </row>
    <row r="85" spans="1:13" ht="16.5" customHeight="1" x14ac:dyDescent="0.25">
      <c r="A85" s="120">
        <v>1</v>
      </c>
      <c r="B85" s="121" t="s">
        <v>89</v>
      </c>
      <c r="C85" s="126">
        <v>54.92</v>
      </c>
      <c r="D85" s="123">
        <f t="shared" si="14"/>
        <v>54.92</v>
      </c>
      <c r="E85" s="122">
        <f t="shared" si="10"/>
        <v>0</v>
      </c>
      <c r="F85" s="122">
        <f t="shared" si="11"/>
        <v>18.306666666666668</v>
      </c>
      <c r="G85" s="122">
        <f t="shared" si="12"/>
        <v>18.306666666666668</v>
      </c>
      <c r="H85" s="122">
        <f t="shared" si="8"/>
        <v>5.8581333333333339</v>
      </c>
      <c r="I85" s="124">
        <v>44232</v>
      </c>
      <c r="J85" s="124">
        <v>44232</v>
      </c>
      <c r="K85" s="240">
        <f t="shared" si="13"/>
        <v>0</v>
      </c>
      <c r="L85" s="359">
        <v>9.4799999999999995E-2</v>
      </c>
      <c r="M85" s="122">
        <f t="shared" si="9"/>
        <v>1.7354720000000001</v>
      </c>
    </row>
    <row r="86" spans="1:13" ht="16.5" customHeight="1" x14ac:dyDescent="0.25">
      <c r="A86" s="120">
        <v>1</v>
      </c>
      <c r="B86" s="121" t="s">
        <v>90</v>
      </c>
      <c r="C86" s="126">
        <v>6.65</v>
      </c>
      <c r="D86" s="123">
        <f t="shared" si="14"/>
        <v>6.65</v>
      </c>
      <c r="E86" s="122">
        <f t="shared" si="10"/>
        <v>0</v>
      </c>
      <c r="F86" s="122">
        <f t="shared" si="11"/>
        <v>2.2166666666666668</v>
      </c>
      <c r="G86" s="122">
        <f t="shared" si="12"/>
        <v>2.2166666666666668</v>
      </c>
      <c r="H86" s="122">
        <f t="shared" si="8"/>
        <v>0.70933333333333337</v>
      </c>
      <c r="I86" s="124">
        <v>44232</v>
      </c>
      <c r="J86" s="124">
        <v>44232</v>
      </c>
      <c r="K86" s="240">
        <f t="shared" si="13"/>
        <v>0</v>
      </c>
      <c r="L86" s="359">
        <v>9.4799999999999995E-2</v>
      </c>
      <c r="M86" s="122">
        <f t="shared" si="9"/>
        <v>0.21013999999999999</v>
      </c>
    </row>
    <row r="87" spans="1:13" ht="16.5" customHeight="1" x14ac:dyDescent="0.25">
      <c r="A87" s="120">
        <v>1</v>
      </c>
      <c r="B87" s="121" t="s">
        <v>91</v>
      </c>
      <c r="C87" s="126">
        <v>2.84</v>
      </c>
      <c r="D87" s="123">
        <f t="shared" si="14"/>
        <v>2.84</v>
      </c>
      <c r="E87" s="122">
        <f t="shared" si="10"/>
        <v>0</v>
      </c>
      <c r="F87" s="122">
        <f t="shared" si="11"/>
        <v>0.94666666666666666</v>
      </c>
      <c r="G87" s="122">
        <f t="shared" si="12"/>
        <v>0.94666666666666666</v>
      </c>
      <c r="H87" s="122">
        <f t="shared" si="8"/>
        <v>0.30293333333333333</v>
      </c>
      <c r="I87" s="124">
        <v>44232</v>
      </c>
      <c r="J87" s="124">
        <v>44232</v>
      </c>
      <c r="K87" s="240">
        <f t="shared" si="13"/>
        <v>0</v>
      </c>
      <c r="L87" s="359">
        <v>9.4799999999999995E-2</v>
      </c>
      <c r="M87" s="122">
        <f t="shared" si="9"/>
        <v>8.974399999999999E-2</v>
      </c>
    </row>
    <row r="88" spans="1:13" ht="16.5" customHeight="1" x14ac:dyDescent="0.25">
      <c r="A88" s="120">
        <v>1</v>
      </c>
      <c r="B88" s="121" t="s">
        <v>93</v>
      </c>
      <c r="C88" s="126">
        <v>51.27</v>
      </c>
      <c r="D88" s="123">
        <f t="shared" si="14"/>
        <v>51.27</v>
      </c>
      <c r="E88" s="122">
        <f t="shared" si="10"/>
        <v>0</v>
      </c>
      <c r="F88" s="122">
        <f t="shared" si="11"/>
        <v>17.09</v>
      </c>
      <c r="G88" s="122">
        <f t="shared" si="12"/>
        <v>17.09</v>
      </c>
      <c r="H88" s="122">
        <f t="shared" si="8"/>
        <v>5.4687999999999999</v>
      </c>
      <c r="I88" s="124">
        <v>44232</v>
      </c>
      <c r="J88" s="124">
        <v>44232</v>
      </c>
      <c r="K88" s="240">
        <f t="shared" si="13"/>
        <v>0</v>
      </c>
      <c r="L88" s="359">
        <v>9.4799999999999995E-2</v>
      </c>
      <c r="M88" s="122">
        <f t="shared" si="9"/>
        <v>1.6201319999999999</v>
      </c>
    </row>
    <row r="89" spans="1:13" ht="16.5" customHeight="1" x14ac:dyDescent="0.25">
      <c r="A89" s="120">
        <v>1</v>
      </c>
      <c r="B89" s="121" t="s">
        <v>94</v>
      </c>
      <c r="C89" s="126">
        <v>954.36</v>
      </c>
      <c r="D89" s="123">
        <f t="shared" si="14"/>
        <v>954.36</v>
      </c>
      <c r="E89" s="122">
        <f t="shared" si="10"/>
        <v>0</v>
      </c>
      <c r="F89" s="122">
        <f t="shared" si="11"/>
        <v>318.12</v>
      </c>
      <c r="G89" s="122">
        <f t="shared" si="12"/>
        <v>318.12</v>
      </c>
      <c r="H89" s="122">
        <f t="shared" si="8"/>
        <v>101.7984</v>
      </c>
      <c r="I89" s="124">
        <v>44232</v>
      </c>
      <c r="J89" s="124">
        <v>44232</v>
      </c>
      <c r="K89" s="240">
        <f t="shared" si="13"/>
        <v>0</v>
      </c>
      <c r="L89" s="359">
        <v>9.4799999999999995E-2</v>
      </c>
      <c r="M89" s="122">
        <f t="shared" si="9"/>
        <v>30.157775999999998</v>
      </c>
    </row>
    <row r="90" spans="1:13" ht="16.5" customHeight="1" x14ac:dyDescent="0.25">
      <c r="A90" s="120">
        <v>1</v>
      </c>
      <c r="B90" s="121" t="s">
        <v>95</v>
      </c>
      <c r="C90" s="126">
        <v>2917.62</v>
      </c>
      <c r="D90" s="123">
        <f t="shared" si="14"/>
        <v>2917.62</v>
      </c>
      <c r="E90" s="122">
        <f t="shared" si="10"/>
        <v>0</v>
      </c>
      <c r="F90" s="122">
        <f t="shared" si="11"/>
        <v>972.54</v>
      </c>
      <c r="G90" s="122">
        <f t="shared" si="12"/>
        <v>972.54</v>
      </c>
      <c r="H90" s="122">
        <f t="shared" si="8"/>
        <v>311.21280000000002</v>
      </c>
      <c r="I90" s="124">
        <v>44236</v>
      </c>
      <c r="J90" s="124">
        <v>44232</v>
      </c>
      <c r="K90" s="240">
        <f t="shared" si="13"/>
        <v>4</v>
      </c>
      <c r="L90" s="359">
        <v>9.4799999999999995E-2</v>
      </c>
      <c r="M90" s="122">
        <f t="shared" si="9"/>
        <v>92.196791999999988</v>
      </c>
    </row>
    <row r="91" spans="1:13" ht="16.5" customHeight="1" x14ac:dyDescent="0.25">
      <c r="A91" s="120">
        <v>1</v>
      </c>
      <c r="B91" s="121" t="s">
        <v>96</v>
      </c>
      <c r="C91" s="126">
        <v>0.53</v>
      </c>
      <c r="D91" s="123">
        <f t="shared" si="14"/>
        <v>0.53</v>
      </c>
      <c r="E91" s="122">
        <f t="shared" si="10"/>
        <v>0</v>
      </c>
      <c r="F91" s="122">
        <f t="shared" si="11"/>
        <v>0.17666666666666667</v>
      </c>
      <c r="G91" s="122">
        <f t="shared" si="12"/>
        <v>0.17666666666666667</v>
      </c>
      <c r="H91" s="122">
        <f t="shared" si="8"/>
        <v>5.6533333333333331E-2</v>
      </c>
      <c r="I91" s="124">
        <v>44232</v>
      </c>
      <c r="J91" s="124">
        <v>44232</v>
      </c>
      <c r="K91" s="240">
        <f t="shared" si="13"/>
        <v>0</v>
      </c>
      <c r="L91" s="359">
        <v>9.4799999999999995E-2</v>
      </c>
      <c r="M91" s="122">
        <f t="shared" si="9"/>
        <v>1.6747999999999999E-2</v>
      </c>
    </row>
    <row r="92" spans="1:13" ht="16.5" customHeight="1" x14ac:dyDescent="0.25">
      <c r="A92" s="120">
        <v>1</v>
      </c>
      <c r="B92" s="121" t="s">
        <v>98</v>
      </c>
      <c r="C92" s="126">
        <v>6632.36</v>
      </c>
      <c r="D92" s="123">
        <f t="shared" si="14"/>
        <v>6632.36</v>
      </c>
      <c r="E92" s="122">
        <f t="shared" si="10"/>
        <v>0</v>
      </c>
      <c r="F92" s="122">
        <f t="shared" si="11"/>
        <v>2210.7866666666664</v>
      </c>
      <c r="G92" s="122">
        <f t="shared" si="12"/>
        <v>2210.7866666666664</v>
      </c>
      <c r="H92" s="122">
        <f t="shared" si="8"/>
        <v>707.45173333333321</v>
      </c>
      <c r="I92" s="124">
        <v>44257</v>
      </c>
      <c r="J92" s="124">
        <v>44232</v>
      </c>
      <c r="K92" s="240">
        <f t="shared" si="13"/>
        <v>25</v>
      </c>
      <c r="L92" s="359">
        <v>9.4799999999999995E-2</v>
      </c>
      <c r="M92" s="122">
        <f t="shared" si="9"/>
        <v>209.58257599999996</v>
      </c>
    </row>
    <row r="93" spans="1:13" ht="16.5" customHeight="1" x14ac:dyDescent="0.25">
      <c r="A93" s="120">
        <v>1</v>
      </c>
      <c r="B93" s="121" t="s">
        <v>99</v>
      </c>
      <c r="C93" s="126">
        <v>1533.01</v>
      </c>
      <c r="D93" s="123">
        <f t="shared" si="14"/>
        <v>1533.01</v>
      </c>
      <c r="E93" s="122">
        <f t="shared" si="10"/>
        <v>0</v>
      </c>
      <c r="F93" s="122">
        <f t="shared" si="11"/>
        <v>511.00333333333333</v>
      </c>
      <c r="G93" s="122">
        <f t="shared" si="12"/>
        <v>511.00333333333333</v>
      </c>
      <c r="H93" s="122">
        <f t="shared" si="8"/>
        <v>163.52106666666666</v>
      </c>
      <c r="I93" s="124">
        <v>44235</v>
      </c>
      <c r="J93" s="124">
        <v>44232</v>
      </c>
      <c r="K93" s="240">
        <f t="shared" si="13"/>
        <v>3</v>
      </c>
      <c r="L93" s="359">
        <v>9.4799999999999995E-2</v>
      </c>
      <c r="M93" s="122">
        <f t="shared" si="9"/>
        <v>48.443115999999996</v>
      </c>
    </row>
    <row r="94" spans="1:13" ht="16.5" customHeight="1" x14ac:dyDescent="0.25">
      <c r="A94" s="120">
        <v>1</v>
      </c>
      <c r="B94" s="121" t="s">
        <v>100</v>
      </c>
      <c r="C94" s="128">
        <v>1001.44</v>
      </c>
      <c r="D94" s="123">
        <f t="shared" si="14"/>
        <v>1001.44</v>
      </c>
      <c r="E94" s="122">
        <f t="shared" si="10"/>
        <v>0</v>
      </c>
      <c r="F94" s="122">
        <f t="shared" si="11"/>
        <v>333.81333333333333</v>
      </c>
      <c r="G94" s="122">
        <f t="shared" si="12"/>
        <v>333.81333333333333</v>
      </c>
      <c r="H94" s="122">
        <f t="shared" si="8"/>
        <v>106.82026666666667</v>
      </c>
      <c r="I94" s="124">
        <v>44235</v>
      </c>
      <c r="J94" s="124">
        <v>44232</v>
      </c>
      <c r="K94" s="240">
        <f t="shared" si="13"/>
        <v>3</v>
      </c>
      <c r="L94" s="359">
        <v>9.4799999999999995E-2</v>
      </c>
      <c r="M94" s="122">
        <f t="shared" si="9"/>
        <v>31.645503999999999</v>
      </c>
    </row>
    <row r="95" spans="1:13" ht="16.5" customHeight="1" x14ac:dyDescent="0.25">
      <c r="A95" s="120">
        <v>1</v>
      </c>
      <c r="B95" s="121" t="s">
        <v>101</v>
      </c>
      <c r="C95" s="128">
        <v>3.07</v>
      </c>
      <c r="D95" s="123">
        <f t="shared" si="14"/>
        <v>3.07</v>
      </c>
      <c r="E95" s="122">
        <f t="shared" si="10"/>
        <v>0</v>
      </c>
      <c r="F95" s="122">
        <f t="shared" si="11"/>
        <v>1.0233333333333332</v>
      </c>
      <c r="G95" s="122">
        <f t="shared" si="12"/>
        <v>1.0233333333333332</v>
      </c>
      <c r="H95" s="122">
        <f t="shared" ref="H95" si="15">SUM(C95+F95)*8%</f>
        <v>0.32746666666666663</v>
      </c>
      <c r="I95" s="124">
        <v>44232</v>
      </c>
      <c r="J95" s="124">
        <v>44232</v>
      </c>
      <c r="K95" s="240">
        <f t="shared" si="13"/>
        <v>0</v>
      </c>
      <c r="L95" s="359">
        <v>9.4799999999999995E-2</v>
      </c>
      <c r="M95" s="122">
        <f t="shared" ref="M95" si="16">G95*L95</f>
        <v>9.7011999999999987E-2</v>
      </c>
    </row>
    <row r="96" spans="1:13" ht="16.5" customHeight="1" x14ac:dyDescent="0.25">
      <c r="A96" s="132"/>
      <c r="B96" s="48" t="s">
        <v>162</v>
      </c>
      <c r="C96" s="48">
        <f>SUM(C36:C95)</f>
        <v>50413.760000000009</v>
      </c>
      <c r="D96" s="48">
        <f>SUM(D36:D95)</f>
        <v>50413.760000000009</v>
      </c>
      <c r="E96" s="48">
        <f>SUM(E36:E95)</f>
        <v>0</v>
      </c>
      <c r="F96" s="48">
        <f t="shared" si="11"/>
        <v>16804.58666666667</v>
      </c>
      <c r="G96" s="48">
        <f t="shared" si="12"/>
        <v>16804.58666666667</v>
      </c>
      <c r="H96" s="48">
        <f>SUM(H36:H95)</f>
        <v>5377.4677333333339</v>
      </c>
      <c r="I96" s="131"/>
      <c r="J96" s="131"/>
      <c r="K96" s="131"/>
      <c r="L96" s="396"/>
      <c r="M96" s="49">
        <f>SUM(M36:M95)</f>
        <v>1593.0748160000003</v>
      </c>
    </row>
    <row r="97" spans="1:13" s="96" customFormat="1" ht="17.25" customHeight="1" x14ac:dyDescent="0.2">
      <c r="A97" s="134"/>
      <c r="B97" s="135" t="s">
        <v>103</v>
      </c>
      <c r="C97" s="55">
        <f>SUM(C96+C35+C20)</f>
        <v>140600.82999999999</v>
      </c>
      <c r="D97" s="55">
        <f>SUM(D96+D35+D20)</f>
        <v>112237.59000000003</v>
      </c>
      <c r="E97" s="55">
        <f>SUM(E96+E35+E20)</f>
        <v>28363.239999999998</v>
      </c>
      <c r="F97" s="229">
        <f t="shared" si="11"/>
        <v>46866.943333333329</v>
      </c>
      <c r="G97" s="229">
        <f t="shared" si="12"/>
        <v>75230.18333333332</v>
      </c>
      <c r="H97" s="229">
        <f t="shared" ref="H97" si="17">C97*8%</f>
        <v>11248.0664</v>
      </c>
      <c r="I97" s="136"/>
      <c r="J97" s="136"/>
      <c r="K97" s="136"/>
      <c r="L97" s="397"/>
      <c r="M97" s="398">
        <f>M96+M35+M20</f>
        <v>7131.8213799999994</v>
      </c>
    </row>
    <row r="99" spans="1:13" x14ac:dyDescent="0.25">
      <c r="B99" s="97"/>
      <c r="C99" s="97"/>
      <c r="D99" s="97"/>
      <c r="E99" s="97"/>
      <c r="F99" s="97"/>
      <c r="G99" s="97"/>
      <c r="H99" s="97"/>
      <c r="I99" s="98"/>
      <c r="J99" s="98"/>
      <c r="K99" s="98"/>
      <c r="L99" s="98"/>
      <c r="M99" s="98"/>
    </row>
    <row r="100" spans="1:13" x14ac:dyDescent="0.25">
      <c r="B100" s="97"/>
      <c r="C100" s="97"/>
      <c r="D100" s="97"/>
      <c r="E100" s="97"/>
      <c r="F100" s="97"/>
      <c r="G100" s="97"/>
      <c r="H100" s="97"/>
      <c r="I100" s="95"/>
      <c r="J100" s="95"/>
      <c r="K100" s="95"/>
      <c r="L100" s="95"/>
      <c r="M100" s="95"/>
    </row>
    <row r="101" spans="1:13" x14ac:dyDescent="0.25">
      <c r="B101" s="97"/>
      <c r="C101" s="97"/>
      <c r="D101" s="97"/>
      <c r="E101" s="97"/>
      <c r="F101" s="97"/>
      <c r="G101" s="97"/>
      <c r="H101" s="97"/>
      <c r="I101" s="99"/>
      <c r="J101" s="99"/>
      <c r="K101" s="99"/>
      <c r="L101" s="99"/>
      <c r="M101" s="99"/>
    </row>
    <row r="102" spans="1:13" x14ac:dyDescent="0.25">
      <c r="B102" s="97"/>
      <c r="C102" s="97"/>
      <c r="D102" s="97"/>
      <c r="E102" s="97"/>
      <c r="F102" s="97"/>
      <c r="G102" s="97"/>
      <c r="H102" s="97"/>
    </row>
    <row r="103" spans="1:13" x14ac:dyDescent="0.25">
      <c r="B103" s="97"/>
      <c r="C103" s="97"/>
      <c r="D103" s="97"/>
      <c r="E103" s="97"/>
      <c r="F103" s="97"/>
      <c r="G103" s="97"/>
      <c r="H103" s="97"/>
    </row>
    <row r="104" spans="1:13" x14ac:dyDescent="0.25">
      <c r="B104" s="97"/>
      <c r="C104" s="97"/>
      <c r="D104" s="97"/>
      <c r="E104" s="97"/>
      <c r="F104" s="97"/>
      <c r="G104" s="97"/>
      <c r="H104" s="97"/>
    </row>
    <row r="105" spans="1:13" x14ac:dyDescent="0.25">
      <c r="B105" s="97"/>
      <c r="C105" s="97"/>
      <c r="D105" s="97"/>
      <c r="E105" s="97"/>
      <c r="F105" s="97"/>
      <c r="G105" s="97"/>
      <c r="H105" s="97"/>
    </row>
    <row r="106" spans="1:13" x14ac:dyDescent="0.25">
      <c r="B106" s="97"/>
      <c r="C106" s="97"/>
      <c r="D106" s="97"/>
      <c r="E106" s="97"/>
      <c r="F106" s="97"/>
      <c r="G106" s="97"/>
      <c r="H106" s="97"/>
    </row>
  </sheetData>
  <autoFilter ref="A4:M96" xr:uid="{00000000-0009-0000-0000-000000000000}"/>
  <pageMargins left="0.51181102362204722" right="0.51181102362204722" top="0.47244094488188981" bottom="0.47244094488188981" header="0.31496062992125984" footer="0.31496062992125984"/>
  <pageSetup paperSize="9" scale="7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8BB4-6837-4C0C-9C7E-51103B602EDB}">
  <sheetPr>
    <tabColor rgb="FF00B050"/>
    <pageSetUpPr fitToPage="1"/>
  </sheetPr>
  <dimension ref="A1:N108"/>
  <sheetViews>
    <sheetView showGridLines="0" topLeftCell="B82" workbookViewId="0">
      <selection activeCell="L82" sqref="L1:M1048576"/>
    </sheetView>
  </sheetViews>
  <sheetFormatPr defaultRowHeight="15" x14ac:dyDescent="0.25"/>
  <cols>
    <col min="1" max="1" width="10.42578125" style="138" hidden="1" customWidth="1"/>
    <col min="2" max="2" width="9.85546875" style="138" customWidth="1"/>
    <col min="3" max="3" width="44.7109375" style="138" bestFit="1" customWidth="1"/>
    <col min="4" max="4" width="13.7109375" style="90" customWidth="1"/>
    <col min="5" max="5" width="12.5703125" style="100" customWidth="1"/>
    <col min="6" max="6" width="15.42578125" style="100" customWidth="1"/>
    <col min="7" max="7" width="11.28515625" style="100" customWidth="1"/>
    <col min="8" max="8" width="12.42578125" style="138" hidden="1" customWidth="1"/>
    <col min="9" max="9" width="12.85546875" style="138" hidden="1" customWidth="1"/>
    <col min="10" max="10" width="14.5703125" style="138" hidden="1" customWidth="1"/>
    <col min="11" max="11" width="14.42578125" style="138" customWidth="1"/>
    <col min="12" max="13" width="14.42578125" style="138" hidden="1" customWidth="1"/>
    <col min="14" max="14" width="10.5703125" style="138" customWidth="1"/>
    <col min="15" max="15" width="9.140625" style="138" customWidth="1"/>
    <col min="16" max="16384" width="9.140625" style="138"/>
  </cols>
  <sheetData>
    <row r="1" spans="1:13" ht="15.75" x14ac:dyDescent="0.25">
      <c r="A1" s="145"/>
      <c r="B1" s="194"/>
      <c r="C1" s="275" t="s">
        <v>141</v>
      </c>
      <c r="D1" s="265"/>
      <c r="E1" s="103"/>
      <c r="F1" s="104"/>
      <c r="G1" s="104"/>
      <c r="H1" s="105"/>
      <c r="I1" s="105"/>
      <c r="J1" s="105"/>
      <c r="K1" s="106"/>
      <c r="L1" s="105"/>
      <c r="M1" s="105"/>
    </row>
    <row r="2" spans="1:13" ht="15.75" x14ac:dyDescent="0.25">
      <c r="A2" s="147"/>
      <c r="B2" s="195"/>
      <c r="C2" s="276" t="s">
        <v>183</v>
      </c>
      <c r="D2" s="267"/>
      <c r="E2" s="11"/>
      <c r="F2" s="11"/>
      <c r="G2" s="11"/>
      <c r="H2" s="90"/>
      <c r="I2" s="90"/>
      <c r="J2" s="90"/>
      <c r="K2" s="108"/>
      <c r="L2" s="90"/>
      <c r="M2" s="90"/>
    </row>
    <row r="3" spans="1:13" ht="15.75" x14ac:dyDescent="0.25">
      <c r="A3" s="148"/>
      <c r="B3" s="196"/>
      <c r="C3" s="277" t="s">
        <v>200</v>
      </c>
      <c r="D3" s="269"/>
      <c r="E3" s="112"/>
      <c r="F3" s="112"/>
      <c r="G3" s="112"/>
      <c r="H3" s="113"/>
      <c r="I3" s="113"/>
      <c r="J3" s="113"/>
      <c r="K3" s="114"/>
      <c r="L3" s="113"/>
      <c r="M3" s="113"/>
    </row>
    <row r="4" spans="1:13" s="139" customFormat="1" ht="43.5" customHeight="1" x14ac:dyDescent="0.25">
      <c r="A4" s="278" t="s">
        <v>142</v>
      </c>
      <c r="B4" s="150" t="s">
        <v>143</v>
      </c>
      <c r="C4" s="151" t="s">
        <v>144</v>
      </c>
      <c r="D4" s="39" t="s">
        <v>140</v>
      </c>
      <c r="E4" s="38" t="s">
        <v>163</v>
      </c>
      <c r="F4" s="39" t="s">
        <v>146</v>
      </c>
      <c r="G4" s="39" t="s">
        <v>212</v>
      </c>
      <c r="H4" s="39" t="s">
        <v>147</v>
      </c>
      <c r="I4" s="39" t="s">
        <v>213</v>
      </c>
      <c r="J4" s="39" t="s">
        <v>214</v>
      </c>
      <c r="K4" s="82" t="s">
        <v>215</v>
      </c>
      <c r="L4" s="361" t="s">
        <v>252</v>
      </c>
      <c r="M4" s="361" t="s">
        <v>256</v>
      </c>
    </row>
    <row r="5" spans="1:13" ht="16.5" customHeight="1" x14ac:dyDescent="0.25">
      <c r="A5" s="279">
        <v>4855</v>
      </c>
      <c r="B5" s="156">
        <v>0.65</v>
      </c>
      <c r="C5" s="158" t="s">
        <v>1</v>
      </c>
      <c r="D5" s="122">
        <v>3858.8</v>
      </c>
      <c r="E5" s="123">
        <f>ROUND(D5*B5,2)</f>
        <v>2508.2199999999998</v>
      </c>
      <c r="F5" s="122">
        <f>D5-E5</f>
        <v>1350.5800000000004</v>
      </c>
      <c r="G5" s="122">
        <f t="shared" ref="G5:G65" si="0">D5*8%</f>
        <v>308.70400000000001</v>
      </c>
      <c r="H5" s="124">
        <v>44287</v>
      </c>
      <c r="I5" s="124">
        <v>44260</v>
      </c>
      <c r="J5" s="240">
        <f t="shared" ref="J5:J16" si="1">H5-I5</f>
        <v>27</v>
      </c>
      <c r="K5" s="122">
        <f t="shared" ref="K5:K16" si="2">(D5*6.22%)*13</f>
        <v>3120.22568</v>
      </c>
      <c r="L5" s="362">
        <v>9.35E-2</v>
      </c>
      <c r="M5" s="342">
        <f t="shared" ref="M5:M16" si="3">SUM(F5)*L5</f>
        <v>126.27923000000004</v>
      </c>
    </row>
    <row r="6" spans="1:13" ht="16.5" customHeight="1" x14ac:dyDescent="0.25">
      <c r="A6" s="279">
        <v>4724</v>
      </c>
      <c r="B6" s="156">
        <v>0.65</v>
      </c>
      <c r="C6" s="157" t="s">
        <v>3</v>
      </c>
      <c r="D6" s="122">
        <v>3719.64</v>
      </c>
      <c r="E6" s="123">
        <f t="shared" ref="E6:E66" si="4">ROUND(D6*B6,2)</f>
        <v>2417.77</v>
      </c>
      <c r="F6" s="122">
        <f t="shared" ref="F6:F61" si="5">D6-E6</f>
        <v>1301.8699999999999</v>
      </c>
      <c r="G6" s="122">
        <f t="shared" si="0"/>
        <v>297.57119999999998</v>
      </c>
      <c r="H6" s="127">
        <v>44264</v>
      </c>
      <c r="I6" s="124">
        <v>44260</v>
      </c>
      <c r="J6" s="240">
        <f t="shared" si="1"/>
        <v>4</v>
      </c>
      <c r="K6" s="122">
        <f t="shared" si="2"/>
        <v>3007.7009039999998</v>
      </c>
      <c r="L6" s="362">
        <v>9.35E-2</v>
      </c>
      <c r="M6" s="342">
        <f t="shared" si="3"/>
        <v>121.72484499999999</v>
      </c>
    </row>
    <row r="7" spans="1:13" ht="16.5" customHeight="1" x14ac:dyDescent="0.25">
      <c r="A7" s="279">
        <v>4566</v>
      </c>
      <c r="B7" s="156">
        <v>0.65</v>
      </c>
      <c r="C7" s="158" t="s">
        <v>4</v>
      </c>
      <c r="D7" s="122">
        <v>4997.5</v>
      </c>
      <c r="E7" s="123">
        <f t="shared" si="4"/>
        <v>3248.38</v>
      </c>
      <c r="F7" s="122">
        <f t="shared" si="5"/>
        <v>1749.12</v>
      </c>
      <c r="G7" s="122">
        <f t="shared" si="0"/>
        <v>399.8</v>
      </c>
      <c r="H7" s="124">
        <v>44287</v>
      </c>
      <c r="I7" s="124">
        <v>44260</v>
      </c>
      <c r="J7" s="240">
        <f t="shared" si="1"/>
        <v>27</v>
      </c>
      <c r="K7" s="122">
        <f t="shared" si="2"/>
        <v>4040.9784999999997</v>
      </c>
      <c r="L7" s="362">
        <v>9.35E-2</v>
      </c>
      <c r="M7" s="342">
        <f t="shared" si="3"/>
        <v>163.54272</v>
      </c>
    </row>
    <row r="8" spans="1:13" ht="16.5" customHeight="1" x14ac:dyDescent="0.25">
      <c r="A8" s="279">
        <v>5013</v>
      </c>
      <c r="B8" s="156">
        <v>0.65</v>
      </c>
      <c r="C8" s="157" t="s">
        <v>5</v>
      </c>
      <c r="D8" s="122">
        <v>4816.08</v>
      </c>
      <c r="E8" s="123">
        <v>2000</v>
      </c>
      <c r="F8" s="122">
        <v>0</v>
      </c>
      <c r="G8" s="122">
        <f t="shared" si="0"/>
        <v>385.28640000000001</v>
      </c>
      <c r="H8" s="127">
        <v>44265</v>
      </c>
      <c r="I8" s="124">
        <v>44260</v>
      </c>
      <c r="J8" s="240">
        <f t="shared" si="1"/>
        <v>5</v>
      </c>
      <c r="K8" s="122">
        <f t="shared" si="2"/>
        <v>3894.2822880000003</v>
      </c>
      <c r="L8" s="362">
        <v>9.35E-2</v>
      </c>
      <c r="M8" s="342">
        <f t="shared" si="3"/>
        <v>0</v>
      </c>
    </row>
    <row r="9" spans="1:13" ht="16.5" customHeight="1" x14ac:dyDescent="0.25">
      <c r="A9" s="279">
        <v>5013</v>
      </c>
      <c r="B9" s="156">
        <v>0.65</v>
      </c>
      <c r="C9" s="157" t="s">
        <v>5</v>
      </c>
      <c r="D9" s="122">
        <v>0</v>
      </c>
      <c r="E9" s="123">
        <f>ROUND(D8*B8,2)-2000</f>
        <v>1130.4499999999998</v>
      </c>
      <c r="F9" s="122">
        <f>D8-E8-E9</f>
        <v>1685.63</v>
      </c>
      <c r="G9" s="122">
        <f t="shared" si="0"/>
        <v>0</v>
      </c>
      <c r="H9" s="127">
        <v>44272</v>
      </c>
      <c r="I9" s="124">
        <v>44260</v>
      </c>
      <c r="J9" s="240">
        <f t="shared" si="1"/>
        <v>12</v>
      </c>
      <c r="K9" s="122">
        <f t="shared" si="2"/>
        <v>0</v>
      </c>
      <c r="L9" s="362">
        <v>9.35E-2</v>
      </c>
      <c r="M9" s="342">
        <f t="shared" si="3"/>
        <v>157.60640500000002</v>
      </c>
    </row>
    <row r="10" spans="1:13" ht="16.5" customHeight="1" x14ac:dyDescent="0.25">
      <c r="A10" s="279">
        <v>4677</v>
      </c>
      <c r="B10" s="156">
        <v>0.65</v>
      </c>
      <c r="C10" s="158" t="s">
        <v>6</v>
      </c>
      <c r="D10" s="122">
        <v>3329.52</v>
      </c>
      <c r="E10" s="123">
        <f t="shared" si="4"/>
        <v>2164.19</v>
      </c>
      <c r="F10" s="122">
        <f t="shared" si="5"/>
        <v>1165.33</v>
      </c>
      <c r="G10" s="122">
        <f t="shared" si="0"/>
        <v>266.36160000000001</v>
      </c>
      <c r="H10" s="124">
        <v>44264</v>
      </c>
      <c r="I10" s="124">
        <v>44260</v>
      </c>
      <c r="J10" s="240">
        <f t="shared" si="1"/>
        <v>4</v>
      </c>
      <c r="K10" s="122">
        <f t="shared" si="2"/>
        <v>2692.2498719999999</v>
      </c>
      <c r="L10" s="362">
        <v>9.35E-2</v>
      </c>
      <c r="M10" s="342">
        <f t="shared" si="3"/>
        <v>108.958355</v>
      </c>
    </row>
    <row r="11" spans="1:13" ht="16.5" customHeight="1" x14ac:dyDescent="0.25">
      <c r="A11" s="279">
        <v>4618</v>
      </c>
      <c r="B11" s="156">
        <v>0.65</v>
      </c>
      <c r="C11" s="158" t="s">
        <v>8</v>
      </c>
      <c r="D11" s="122">
        <v>3210.09</v>
      </c>
      <c r="E11" s="123">
        <f t="shared" si="4"/>
        <v>2086.56</v>
      </c>
      <c r="F11" s="122">
        <f t="shared" si="5"/>
        <v>1123.5300000000002</v>
      </c>
      <c r="G11" s="122">
        <f t="shared" si="0"/>
        <v>256.80720000000002</v>
      </c>
      <c r="H11" s="124">
        <v>44292</v>
      </c>
      <c r="I11" s="124">
        <v>44260</v>
      </c>
      <c r="J11" s="240">
        <f t="shared" si="1"/>
        <v>32</v>
      </c>
      <c r="K11" s="122">
        <f t="shared" si="2"/>
        <v>2595.678774</v>
      </c>
      <c r="L11" s="362">
        <v>9.35E-2</v>
      </c>
      <c r="M11" s="342">
        <f t="shared" si="3"/>
        <v>105.05005500000001</v>
      </c>
    </row>
    <row r="12" spans="1:13" ht="16.5" customHeight="1" x14ac:dyDescent="0.25">
      <c r="A12" s="279">
        <v>2380</v>
      </c>
      <c r="B12" s="156">
        <v>0.65</v>
      </c>
      <c r="C12" s="158" t="s">
        <v>9</v>
      </c>
      <c r="D12" s="122">
        <v>3842.33</v>
      </c>
      <c r="E12" s="123">
        <f t="shared" si="4"/>
        <v>2497.5100000000002</v>
      </c>
      <c r="F12" s="122">
        <f t="shared" si="5"/>
        <v>1344.8199999999997</v>
      </c>
      <c r="G12" s="122">
        <f t="shared" si="0"/>
        <v>307.38639999999998</v>
      </c>
      <c r="H12" s="124">
        <v>44287</v>
      </c>
      <c r="I12" s="124">
        <v>44260</v>
      </c>
      <c r="J12" s="240">
        <f t="shared" si="1"/>
        <v>27</v>
      </c>
      <c r="K12" s="122">
        <f t="shared" si="2"/>
        <v>3106.9080379999996</v>
      </c>
      <c r="L12" s="362">
        <v>9.35E-2</v>
      </c>
      <c r="M12" s="342">
        <f t="shared" si="3"/>
        <v>125.74066999999997</v>
      </c>
    </row>
    <row r="13" spans="1:13" ht="16.5" customHeight="1" x14ac:dyDescent="0.25">
      <c r="A13" s="280">
        <v>2429</v>
      </c>
      <c r="B13" s="156">
        <v>0.65</v>
      </c>
      <c r="C13" s="158" t="s">
        <v>11</v>
      </c>
      <c r="D13" s="122">
        <v>2764.35</v>
      </c>
      <c r="E13" s="123">
        <v>0</v>
      </c>
      <c r="F13" s="122">
        <v>2764.35</v>
      </c>
      <c r="G13" s="122">
        <f t="shared" si="0"/>
        <v>221.148</v>
      </c>
      <c r="H13" s="124"/>
      <c r="I13" s="124">
        <v>44260</v>
      </c>
      <c r="J13" s="240">
        <f t="shared" si="1"/>
        <v>-44260</v>
      </c>
      <c r="K13" s="122">
        <f t="shared" si="2"/>
        <v>2235.2534099999998</v>
      </c>
      <c r="L13" s="362">
        <v>9.35E-2</v>
      </c>
      <c r="M13" s="342">
        <f t="shared" si="3"/>
        <v>258.466725</v>
      </c>
    </row>
    <row r="14" spans="1:13" ht="16.5" customHeight="1" x14ac:dyDescent="0.25">
      <c r="A14" s="279">
        <v>1520</v>
      </c>
      <c r="B14" s="156">
        <v>0.65</v>
      </c>
      <c r="C14" s="158" t="s">
        <v>12</v>
      </c>
      <c r="D14" s="122">
        <v>1309.07</v>
      </c>
      <c r="E14" s="123">
        <f>ROUND(D14*B14,2)</f>
        <v>850.9</v>
      </c>
      <c r="F14" s="122">
        <f>D14-E14</f>
        <v>458.16999999999996</v>
      </c>
      <c r="G14" s="122">
        <f t="shared" si="0"/>
        <v>104.7256</v>
      </c>
      <c r="H14" s="124">
        <v>44287</v>
      </c>
      <c r="I14" s="124">
        <v>44260</v>
      </c>
      <c r="J14" s="240">
        <f t="shared" si="1"/>
        <v>27</v>
      </c>
      <c r="K14" s="122">
        <f t="shared" si="2"/>
        <v>1058.5140019999999</v>
      </c>
      <c r="L14" s="362">
        <v>9.35E-2</v>
      </c>
      <c r="M14" s="342">
        <f t="shared" si="3"/>
        <v>42.838894999999994</v>
      </c>
    </row>
    <row r="15" spans="1:13" ht="16.5" customHeight="1" x14ac:dyDescent="0.25">
      <c r="A15" s="279">
        <v>4863</v>
      </c>
      <c r="B15" s="156">
        <v>0.65</v>
      </c>
      <c r="C15" s="158" t="s">
        <v>13</v>
      </c>
      <c r="D15" s="122">
        <v>1978.9</v>
      </c>
      <c r="E15" s="123">
        <f t="shared" si="4"/>
        <v>1286.29</v>
      </c>
      <c r="F15" s="122">
        <f t="shared" si="5"/>
        <v>692.61000000000013</v>
      </c>
      <c r="G15" s="122">
        <f t="shared" si="0"/>
        <v>158.31200000000001</v>
      </c>
      <c r="H15" s="124">
        <v>44287</v>
      </c>
      <c r="I15" s="124">
        <v>44260</v>
      </c>
      <c r="J15" s="240">
        <f t="shared" si="1"/>
        <v>27</v>
      </c>
      <c r="K15" s="122">
        <f t="shared" si="2"/>
        <v>1600.1385399999999</v>
      </c>
      <c r="L15" s="362">
        <v>9.35E-2</v>
      </c>
      <c r="M15" s="342">
        <f t="shared" si="3"/>
        <v>64.759035000000011</v>
      </c>
    </row>
    <row r="16" spans="1:13" ht="16.5" customHeight="1" x14ac:dyDescent="0.25">
      <c r="A16" s="279">
        <v>4816</v>
      </c>
      <c r="B16" s="156">
        <v>0.65</v>
      </c>
      <c r="C16" s="158" t="s">
        <v>14</v>
      </c>
      <c r="D16" s="122">
        <v>1906.97</v>
      </c>
      <c r="E16" s="123">
        <f t="shared" si="4"/>
        <v>1239.53</v>
      </c>
      <c r="F16" s="122">
        <f t="shared" si="5"/>
        <v>667.44</v>
      </c>
      <c r="G16" s="122">
        <f t="shared" si="0"/>
        <v>152.55760000000001</v>
      </c>
      <c r="H16" s="124">
        <v>44264</v>
      </c>
      <c r="I16" s="124">
        <v>44260</v>
      </c>
      <c r="J16" s="240">
        <f t="shared" si="1"/>
        <v>4</v>
      </c>
      <c r="K16" s="122">
        <f t="shared" si="2"/>
        <v>1541.975942</v>
      </c>
      <c r="L16" s="362">
        <v>9.35E-2</v>
      </c>
      <c r="M16" s="342">
        <f t="shared" si="3"/>
        <v>62.405640000000005</v>
      </c>
    </row>
    <row r="17" spans="1:14" ht="16.5" customHeight="1" x14ac:dyDescent="0.25">
      <c r="A17" s="279"/>
      <c r="B17" s="160"/>
      <c r="C17" s="48" t="s">
        <v>156</v>
      </c>
      <c r="D17" s="48">
        <f>SUM(D5:D16)</f>
        <v>35733.25</v>
      </c>
      <c r="E17" s="48">
        <f>SUBTOTAL(9,E5:E16)</f>
        <v>21429.800000000003</v>
      </c>
      <c r="F17" s="48">
        <f>SUM(F5:F16)</f>
        <v>14303.45</v>
      </c>
      <c r="G17" s="48">
        <f>SUM(G5:G16)</f>
        <v>2858.6600000000003</v>
      </c>
      <c r="H17" s="131"/>
      <c r="I17" s="131"/>
      <c r="J17" s="131"/>
      <c r="K17" s="48">
        <f>SUM(K5:K16)</f>
        <v>28893.905950000004</v>
      </c>
      <c r="L17" s="343">
        <v>0</v>
      </c>
      <c r="M17" s="399">
        <f>SUM(M5:M16)</f>
        <v>1337.3725750000001</v>
      </c>
      <c r="N17" s="144"/>
    </row>
    <row r="18" spans="1:14" ht="16.5" customHeight="1" x14ac:dyDescent="0.25">
      <c r="A18" s="279">
        <v>5014</v>
      </c>
      <c r="B18" s="156">
        <v>0.8</v>
      </c>
      <c r="C18" s="157" t="s">
        <v>19</v>
      </c>
      <c r="D18" s="122">
        <v>3138.56</v>
      </c>
      <c r="E18" s="123">
        <v>1500</v>
      </c>
      <c r="F18" s="122">
        <v>0</v>
      </c>
      <c r="G18" s="122">
        <f t="shared" si="0"/>
        <v>251.0848</v>
      </c>
      <c r="H18" s="124">
        <v>44265</v>
      </c>
      <c r="I18" s="127">
        <v>44260</v>
      </c>
      <c r="J18" s="241">
        <f t="shared" ref="J18:J33" si="6">H18-I18</f>
        <v>5</v>
      </c>
      <c r="K18" s="122">
        <f t="shared" ref="K18:K33" si="7">(D18*6.22%)*13</f>
        <v>2537.8396159999998</v>
      </c>
      <c r="L18" s="362">
        <v>9.35E-2</v>
      </c>
      <c r="M18" s="342">
        <f t="shared" ref="M18:M33" si="8">SUM(F18)*L18</f>
        <v>0</v>
      </c>
    </row>
    <row r="19" spans="1:14" ht="16.5" customHeight="1" x14ac:dyDescent="0.25">
      <c r="A19" s="279">
        <v>5014</v>
      </c>
      <c r="B19" s="156">
        <v>0.8</v>
      </c>
      <c r="C19" s="157" t="s">
        <v>19</v>
      </c>
      <c r="D19" s="122">
        <v>0</v>
      </c>
      <c r="E19" s="123">
        <f>ROUND(D18*B18,2)-1500</f>
        <v>1010.8499999999999</v>
      </c>
      <c r="F19" s="122">
        <f>D18-E18-E19</f>
        <v>627.71</v>
      </c>
      <c r="G19" s="122">
        <f t="shared" si="0"/>
        <v>0</v>
      </c>
      <c r="H19" s="124">
        <v>44271</v>
      </c>
      <c r="I19" s="127">
        <v>44260</v>
      </c>
      <c r="J19" s="241">
        <f t="shared" si="6"/>
        <v>11</v>
      </c>
      <c r="K19" s="122">
        <f t="shared" si="7"/>
        <v>0</v>
      </c>
      <c r="L19" s="362">
        <f>L18</f>
        <v>9.35E-2</v>
      </c>
      <c r="M19" s="342">
        <f t="shared" si="8"/>
        <v>58.690885000000002</v>
      </c>
    </row>
    <row r="20" spans="1:14" ht="16.5" customHeight="1" x14ac:dyDescent="0.25">
      <c r="A20" s="279">
        <v>4749</v>
      </c>
      <c r="B20" s="156">
        <v>0.8</v>
      </c>
      <c r="C20" s="157" t="s">
        <v>21</v>
      </c>
      <c r="D20" s="122">
        <v>606.66999999999996</v>
      </c>
      <c r="E20" s="123">
        <f t="shared" si="4"/>
        <v>485.34</v>
      </c>
      <c r="F20" s="122">
        <f t="shared" si="5"/>
        <v>121.32999999999998</v>
      </c>
      <c r="G20" s="122">
        <f t="shared" si="0"/>
        <v>48.5336</v>
      </c>
      <c r="H20" s="127">
        <v>44264</v>
      </c>
      <c r="I20" s="127">
        <v>44260</v>
      </c>
      <c r="J20" s="241">
        <f t="shared" si="6"/>
        <v>4</v>
      </c>
      <c r="K20" s="122">
        <f t="shared" si="7"/>
        <v>490.55336199999999</v>
      </c>
      <c r="L20" s="362">
        <f t="shared" ref="L20:L33" si="9">L18</f>
        <v>9.35E-2</v>
      </c>
      <c r="M20" s="342">
        <f t="shared" si="8"/>
        <v>11.344354999999998</v>
      </c>
    </row>
    <row r="21" spans="1:14" ht="16.5" customHeight="1" x14ac:dyDescent="0.25">
      <c r="A21" s="279">
        <v>4997</v>
      </c>
      <c r="B21" s="156">
        <v>0.8</v>
      </c>
      <c r="C21" s="157" t="s">
        <v>22</v>
      </c>
      <c r="D21" s="122">
        <v>1263</v>
      </c>
      <c r="E21" s="123">
        <f t="shared" si="4"/>
        <v>1010.4</v>
      </c>
      <c r="F21" s="122">
        <f t="shared" si="5"/>
        <v>252.60000000000002</v>
      </c>
      <c r="G21" s="122">
        <f t="shared" si="0"/>
        <v>101.04</v>
      </c>
      <c r="H21" s="127">
        <v>44272</v>
      </c>
      <c r="I21" s="127">
        <v>44260</v>
      </c>
      <c r="J21" s="241">
        <f t="shared" si="6"/>
        <v>12</v>
      </c>
      <c r="K21" s="122">
        <f t="shared" si="7"/>
        <v>1021.2618</v>
      </c>
      <c r="L21" s="362">
        <f t="shared" si="9"/>
        <v>9.35E-2</v>
      </c>
      <c r="M21" s="342">
        <f t="shared" si="8"/>
        <v>23.618100000000002</v>
      </c>
    </row>
    <row r="22" spans="1:14" ht="16.5" customHeight="1" x14ac:dyDescent="0.25">
      <c r="A22" s="279">
        <v>4909</v>
      </c>
      <c r="B22" s="156">
        <v>0.8</v>
      </c>
      <c r="C22" s="157" t="s">
        <v>23</v>
      </c>
      <c r="D22" s="122">
        <v>3994.26</v>
      </c>
      <c r="E22" s="123">
        <f t="shared" si="4"/>
        <v>3195.41</v>
      </c>
      <c r="F22" s="122">
        <f t="shared" si="5"/>
        <v>798.85000000000036</v>
      </c>
      <c r="G22" s="122">
        <f t="shared" si="0"/>
        <v>319.54080000000005</v>
      </c>
      <c r="H22" s="127">
        <v>44287</v>
      </c>
      <c r="I22" s="127">
        <v>44260</v>
      </c>
      <c r="J22" s="241">
        <f t="shared" si="6"/>
        <v>27</v>
      </c>
      <c r="K22" s="122">
        <f t="shared" si="7"/>
        <v>3229.758636</v>
      </c>
      <c r="L22" s="362">
        <f t="shared" si="9"/>
        <v>9.35E-2</v>
      </c>
      <c r="M22" s="342">
        <f t="shared" si="8"/>
        <v>74.69247500000003</v>
      </c>
    </row>
    <row r="23" spans="1:14" ht="16.5" customHeight="1" x14ac:dyDescent="0.25">
      <c r="A23" s="279">
        <v>4881</v>
      </c>
      <c r="B23" s="156">
        <v>0.8</v>
      </c>
      <c r="C23" s="158" t="s">
        <v>24</v>
      </c>
      <c r="D23" s="122">
        <v>742.12</v>
      </c>
      <c r="E23" s="123">
        <f t="shared" si="4"/>
        <v>593.70000000000005</v>
      </c>
      <c r="F23" s="122">
        <f t="shared" si="5"/>
        <v>148.41999999999996</v>
      </c>
      <c r="G23" s="122">
        <f t="shared" si="0"/>
        <v>59.369599999999998</v>
      </c>
      <c r="H23" s="127">
        <v>44292</v>
      </c>
      <c r="I23" s="127">
        <v>44260</v>
      </c>
      <c r="J23" s="241">
        <f t="shared" si="6"/>
        <v>32</v>
      </c>
      <c r="K23" s="122">
        <f t="shared" si="7"/>
        <v>600.07823199999996</v>
      </c>
      <c r="L23" s="362">
        <f t="shared" si="9"/>
        <v>9.35E-2</v>
      </c>
      <c r="M23" s="342">
        <f t="shared" si="8"/>
        <v>13.877269999999996</v>
      </c>
    </row>
    <row r="24" spans="1:14" ht="16.5" customHeight="1" x14ac:dyDescent="0.25">
      <c r="A24" s="279">
        <v>4968</v>
      </c>
      <c r="B24" s="156">
        <v>0.8</v>
      </c>
      <c r="C24" s="157" t="s">
        <v>25</v>
      </c>
      <c r="D24" s="122">
        <v>7125.95</v>
      </c>
      <c r="E24" s="123">
        <v>2000</v>
      </c>
      <c r="F24" s="122">
        <v>0</v>
      </c>
      <c r="G24" s="122">
        <f t="shared" si="0"/>
        <v>570.07600000000002</v>
      </c>
      <c r="H24" s="127">
        <v>44265</v>
      </c>
      <c r="I24" s="127">
        <v>44260</v>
      </c>
      <c r="J24" s="241">
        <f t="shared" si="6"/>
        <v>5</v>
      </c>
      <c r="K24" s="122">
        <f t="shared" si="7"/>
        <v>5762.0431699999999</v>
      </c>
      <c r="L24" s="362">
        <f t="shared" si="9"/>
        <v>9.35E-2</v>
      </c>
      <c r="M24" s="342">
        <f t="shared" si="8"/>
        <v>0</v>
      </c>
    </row>
    <row r="25" spans="1:14" ht="16.5" customHeight="1" x14ac:dyDescent="0.25">
      <c r="A25" s="279">
        <v>4968</v>
      </c>
      <c r="B25" s="156">
        <v>0.8</v>
      </c>
      <c r="C25" s="157" t="s">
        <v>25</v>
      </c>
      <c r="D25" s="122">
        <v>0</v>
      </c>
      <c r="E25" s="123">
        <f>ROUND(D24*B24,2)-2000</f>
        <v>3700.76</v>
      </c>
      <c r="F25" s="122">
        <f>D24-E24-E25</f>
        <v>1425.1899999999996</v>
      </c>
      <c r="G25" s="122">
        <f t="shared" si="0"/>
        <v>0</v>
      </c>
      <c r="H25" s="127">
        <v>44287</v>
      </c>
      <c r="I25" s="127">
        <v>44260</v>
      </c>
      <c r="J25" s="241">
        <f t="shared" si="6"/>
        <v>27</v>
      </c>
      <c r="K25" s="122">
        <f t="shared" si="7"/>
        <v>0</v>
      </c>
      <c r="L25" s="362">
        <f t="shared" si="9"/>
        <v>9.35E-2</v>
      </c>
      <c r="M25" s="342">
        <f t="shared" si="8"/>
        <v>133.25526499999995</v>
      </c>
    </row>
    <row r="26" spans="1:14" ht="16.5" customHeight="1" x14ac:dyDescent="0.25">
      <c r="A26" s="279">
        <v>5015</v>
      </c>
      <c r="B26" s="156">
        <v>0.8</v>
      </c>
      <c r="C26" s="157" t="s">
        <v>26</v>
      </c>
      <c r="D26" s="122">
        <v>5595.24</v>
      </c>
      <c r="E26" s="123">
        <f t="shared" si="4"/>
        <v>4476.1899999999996</v>
      </c>
      <c r="F26" s="122">
        <f t="shared" si="5"/>
        <v>1119.0500000000002</v>
      </c>
      <c r="G26" s="122">
        <f t="shared" si="0"/>
        <v>447.61919999999998</v>
      </c>
      <c r="H26" s="127">
        <v>44287</v>
      </c>
      <c r="I26" s="127">
        <v>44260</v>
      </c>
      <c r="J26" s="241">
        <f t="shared" si="6"/>
        <v>27</v>
      </c>
      <c r="K26" s="122">
        <f t="shared" si="7"/>
        <v>4524.3110639999995</v>
      </c>
      <c r="L26" s="362">
        <f t="shared" si="9"/>
        <v>9.35E-2</v>
      </c>
      <c r="M26" s="342">
        <f t="shared" si="8"/>
        <v>104.63117500000001</v>
      </c>
    </row>
    <row r="27" spans="1:14" ht="16.5" customHeight="1" x14ac:dyDescent="0.25">
      <c r="A27" s="279">
        <v>4801</v>
      </c>
      <c r="B27" s="156">
        <v>0.8</v>
      </c>
      <c r="C27" s="157" t="s">
        <v>27</v>
      </c>
      <c r="D27" s="122">
        <v>4351.84</v>
      </c>
      <c r="E27" s="123">
        <f t="shared" si="4"/>
        <v>3481.47</v>
      </c>
      <c r="F27" s="122">
        <f t="shared" si="5"/>
        <v>870.37000000000035</v>
      </c>
      <c r="G27" s="122">
        <f t="shared" si="0"/>
        <v>348.1472</v>
      </c>
      <c r="H27" s="127">
        <v>44287</v>
      </c>
      <c r="I27" s="127">
        <v>44260</v>
      </c>
      <c r="J27" s="241">
        <f t="shared" si="6"/>
        <v>27</v>
      </c>
      <c r="K27" s="122">
        <f t="shared" si="7"/>
        <v>3518.8978239999997</v>
      </c>
      <c r="L27" s="362">
        <f t="shared" si="9"/>
        <v>9.35E-2</v>
      </c>
      <c r="M27" s="342">
        <f t="shared" si="8"/>
        <v>81.379595000000037</v>
      </c>
    </row>
    <row r="28" spans="1:14" ht="16.5" customHeight="1" x14ac:dyDescent="0.25">
      <c r="A28" s="279">
        <v>5006</v>
      </c>
      <c r="B28" s="156">
        <v>0.8</v>
      </c>
      <c r="C28" s="157" t="s">
        <v>28</v>
      </c>
      <c r="D28" s="122">
        <v>1394.86</v>
      </c>
      <c r="E28" s="123">
        <f t="shared" si="4"/>
        <v>1115.8900000000001</v>
      </c>
      <c r="F28" s="122">
        <f t="shared" si="5"/>
        <v>278.9699999999998</v>
      </c>
      <c r="G28" s="122">
        <f t="shared" si="0"/>
        <v>111.58879999999999</v>
      </c>
      <c r="H28" s="127">
        <v>44264</v>
      </c>
      <c r="I28" s="127">
        <v>44260</v>
      </c>
      <c r="J28" s="241">
        <f t="shared" si="6"/>
        <v>4</v>
      </c>
      <c r="K28" s="122">
        <f t="shared" si="7"/>
        <v>1127.8837959999998</v>
      </c>
      <c r="L28" s="362">
        <f t="shared" si="9"/>
        <v>9.35E-2</v>
      </c>
      <c r="M28" s="342">
        <f t="shared" si="8"/>
        <v>26.083694999999981</v>
      </c>
    </row>
    <row r="29" spans="1:14" ht="16.5" customHeight="1" x14ac:dyDescent="0.25">
      <c r="A29" s="279">
        <v>4977</v>
      </c>
      <c r="B29" s="156">
        <v>0.8</v>
      </c>
      <c r="C29" s="157" t="s">
        <v>29</v>
      </c>
      <c r="D29" s="122">
        <v>2279.9899999999998</v>
      </c>
      <c r="E29" s="123">
        <f t="shared" si="4"/>
        <v>1823.99</v>
      </c>
      <c r="F29" s="122">
        <f t="shared" si="5"/>
        <v>455.99999999999977</v>
      </c>
      <c r="G29" s="122">
        <f t="shared" si="0"/>
        <v>182.39919999999998</v>
      </c>
      <c r="H29" s="127">
        <v>44287</v>
      </c>
      <c r="I29" s="127">
        <v>44260</v>
      </c>
      <c r="J29" s="241">
        <f t="shared" si="6"/>
        <v>27</v>
      </c>
      <c r="K29" s="122">
        <f t="shared" si="7"/>
        <v>1843.5999139999997</v>
      </c>
      <c r="L29" s="362">
        <f t="shared" si="9"/>
        <v>9.35E-2</v>
      </c>
      <c r="M29" s="342">
        <f t="shared" si="8"/>
        <v>42.635999999999981</v>
      </c>
    </row>
    <row r="30" spans="1:14" ht="16.5" customHeight="1" x14ac:dyDescent="0.25">
      <c r="A30" s="279">
        <v>4761</v>
      </c>
      <c r="B30" s="156">
        <v>0.8</v>
      </c>
      <c r="C30" s="157" t="s">
        <v>102</v>
      </c>
      <c r="D30" s="122">
        <v>4693.3599999999997</v>
      </c>
      <c r="E30" s="123">
        <v>1200</v>
      </c>
      <c r="F30" s="122">
        <v>0</v>
      </c>
      <c r="G30" s="122">
        <f t="shared" si="0"/>
        <v>375.46879999999999</v>
      </c>
      <c r="H30" s="127">
        <v>44265</v>
      </c>
      <c r="I30" s="127">
        <v>44260</v>
      </c>
      <c r="J30" s="241">
        <f t="shared" si="6"/>
        <v>5</v>
      </c>
      <c r="K30" s="122">
        <f t="shared" si="7"/>
        <v>3795.0508959999997</v>
      </c>
      <c r="L30" s="362">
        <f t="shared" si="9"/>
        <v>9.35E-2</v>
      </c>
      <c r="M30" s="342">
        <f t="shared" si="8"/>
        <v>0</v>
      </c>
    </row>
    <row r="31" spans="1:14" ht="16.5" customHeight="1" x14ac:dyDescent="0.25">
      <c r="A31" s="279">
        <v>4761</v>
      </c>
      <c r="B31" s="156">
        <v>0.8</v>
      </c>
      <c r="C31" s="157" t="s">
        <v>102</v>
      </c>
      <c r="D31" s="122">
        <v>0</v>
      </c>
      <c r="E31" s="123">
        <f>ROUND(D30*B30,2)-1200</f>
        <v>2554.69</v>
      </c>
      <c r="F31" s="122">
        <f>D30-E30-E31</f>
        <v>938.66999999999962</v>
      </c>
      <c r="G31" s="122">
        <f t="shared" si="0"/>
        <v>0</v>
      </c>
      <c r="H31" s="127">
        <v>44266</v>
      </c>
      <c r="I31" s="127">
        <v>44260</v>
      </c>
      <c r="J31" s="241">
        <f t="shared" si="6"/>
        <v>6</v>
      </c>
      <c r="K31" s="122">
        <f t="shared" si="7"/>
        <v>0</v>
      </c>
      <c r="L31" s="362">
        <f t="shared" si="9"/>
        <v>9.35E-2</v>
      </c>
      <c r="M31" s="342">
        <f t="shared" si="8"/>
        <v>87.765644999999964</v>
      </c>
    </row>
    <row r="32" spans="1:14" ht="16.5" customHeight="1" x14ac:dyDescent="0.25">
      <c r="A32" s="279">
        <v>4789</v>
      </c>
      <c r="B32" s="156">
        <v>0.8</v>
      </c>
      <c r="C32" s="157" t="s">
        <v>31</v>
      </c>
      <c r="D32" s="122">
        <v>2737.48</v>
      </c>
      <c r="E32" s="123">
        <f t="shared" si="4"/>
        <v>2189.98</v>
      </c>
      <c r="F32" s="122">
        <f t="shared" si="5"/>
        <v>547.5</v>
      </c>
      <c r="G32" s="122">
        <f t="shared" si="0"/>
        <v>218.9984</v>
      </c>
      <c r="H32" s="127">
        <v>44264</v>
      </c>
      <c r="I32" s="127">
        <v>44260</v>
      </c>
      <c r="J32" s="241">
        <f t="shared" si="6"/>
        <v>4</v>
      </c>
      <c r="K32" s="122">
        <f t="shared" si="7"/>
        <v>2213.5263279999999</v>
      </c>
      <c r="L32" s="362">
        <f t="shared" si="9"/>
        <v>9.35E-2</v>
      </c>
      <c r="M32" s="342">
        <f t="shared" si="8"/>
        <v>51.191249999999997</v>
      </c>
    </row>
    <row r="33" spans="1:13" ht="16.5" customHeight="1" x14ac:dyDescent="0.25">
      <c r="A33" s="279">
        <v>4969</v>
      </c>
      <c r="B33" s="156">
        <v>0.8</v>
      </c>
      <c r="C33" s="157" t="s">
        <v>32</v>
      </c>
      <c r="D33" s="122">
        <v>2279.9899999999998</v>
      </c>
      <c r="E33" s="123">
        <f t="shared" si="4"/>
        <v>1823.99</v>
      </c>
      <c r="F33" s="122">
        <f t="shared" si="5"/>
        <v>455.99999999999977</v>
      </c>
      <c r="G33" s="122">
        <f t="shared" si="0"/>
        <v>182.39919999999998</v>
      </c>
      <c r="H33" s="127">
        <v>44264</v>
      </c>
      <c r="I33" s="127">
        <v>44260</v>
      </c>
      <c r="J33" s="241">
        <f t="shared" si="6"/>
        <v>4</v>
      </c>
      <c r="K33" s="122">
        <f t="shared" si="7"/>
        <v>1843.5999139999997</v>
      </c>
      <c r="L33" s="362">
        <f t="shared" si="9"/>
        <v>9.35E-2</v>
      </c>
      <c r="M33" s="342">
        <f t="shared" si="8"/>
        <v>42.635999999999981</v>
      </c>
    </row>
    <row r="34" spans="1:13" ht="16.5" customHeight="1" x14ac:dyDescent="0.25">
      <c r="A34" s="279"/>
      <c r="B34" s="160"/>
      <c r="C34" s="48" t="s">
        <v>160</v>
      </c>
      <c r="D34" s="48">
        <f>SUM(D18:D33)</f>
        <v>40203.320000000007</v>
      </c>
      <c r="E34" s="48">
        <f>SUM(E18:E33)</f>
        <v>32162.660000000003</v>
      </c>
      <c r="F34" s="48">
        <f>SUM(F18:F33)</f>
        <v>8040.66</v>
      </c>
      <c r="G34" s="48">
        <f>SUM(G18:G33)</f>
        <v>3216.2655999999997</v>
      </c>
      <c r="H34" s="133"/>
      <c r="I34" s="133"/>
      <c r="J34" s="133"/>
      <c r="K34" s="243">
        <f>SUM(K18:K33)</f>
        <v>32508.404551999996</v>
      </c>
      <c r="L34" s="344">
        <v>0</v>
      </c>
      <c r="M34" s="399">
        <f>SUM(M18:M33)</f>
        <v>751.80170999999984</v>
      </c>
    </row>
    <row r="35" spans="1:13" ht="16.5" customHeight="1" x14ac:dyDescent="0.25">
      <c r="A35" s="279">
        <v>4937</v>
      </c>
      <c r="B35" s="156">
        <v>1</v>
      </c>
      <c r="C35" s="157" t="s">
        <v>33</v>
      </c>
      <c r="D35" s="122">
        <v>2106.0100000000002</v>
      </c>
      <c r="E35" s="123">
        <f>ROUND(D35*B35,2)</f>
        <v>2106.0100000000002</v>
      </c>
      <c r="F35" s="122">
        <f>D35-E35</f>
        <v>0</v>
      </c>
      <c r="G35" s="122">
        <f t="shared" si="0"/>
        <v>168.48080000000002</v>
      </c>
      <c r="H35" s="127">
        <v>44284</v>
      </c>
      <c r="I35" s="127">
        <v>44260</v>
      </c>
      <c r="J35" s="241">
        <f>H35-I35</f>
        <v>24</v>
      </c>
      <c r="K35" s="122">
        <f t="shared" ref="K35:K65" si="10">(D35*6.22%)*13</f>
        <v>1702.9196860000002</v>
      </c>
      <c r="L35" s="362">
        <f>L33</f>
        <v>9.35E-2</v>
      </c>
      <c r="M35" s="342">
        <f t="shared" ref="M35:M65" si="11">SUM(F35)*L35</f>
        <v>0</v>
      </c>
    </row>
    <row r="36" spans="1:13" ht="16.5" customHeight="1" x14ac:dyDescent="0.25">
      <c r="A36" s="279">
        <v>5122</v>
      </c>
      <c r="B36" s="156">
        <v>1</v>
      </c>
      <c r="C36" s="157" t="s">
        <v>34</v>
      </c>
      <c r="D36" s="122">
        <v>1419.1</v>
      </c>
      <c r="E36" s="123">
        <f t="shared" si="4"/>
        <v>1419.1</v>
      </c>
      <c r="F36" s="122">
        <f t="shared" si="5"/>
        <v>0</v>
      </c>
      <c r="G36" s="122">
        <f t="shared" si="0"/>
        <v>113.52799999999999</v>
      </c>
      <c r="H36" s="127">
        <v>44264</v>
      </c>
      <c r="I36" s="127">
        <v>44260</v>
      </c>
      <c r="J36" s="241">
        <f t="shared" ref="J36:J93" si="12">H36-I36</f>
        <v>4</v>
      </c>
      <c r="K36" s="122">
        <f t="shared" si="10"/>
        <v>1147.4842599999999</v>
      </c>
      <c r="L36" s="362">
        <f>L35</f>
        <v>9.35E-2</v>
      </c>
      <c r="M36" s="342">
        <f t="shared" si="11"/>
        <v>0</v>
      </c>
    </row>
    <row r="37" spans="1:13" ht="16.5" customHeight="1" x14ac:dyDescent="0.25">
      <c r="A37" s="279">
        <v>4763</v>
      </c>
      <c r="B37" s="156">
        <v>1</v>
      </c>
      <c r="C37" s="158" t="s">
        <v>16</v>
      </c>
      <c r="D37" s="122">
        <v>0.72</v>
      </c>
      <c r="E37" s="123">
        <f t="shared" si="4"/>
        <v>0.72</v>
      </c>
      <c r="F37" s="122">
        <f t="shared" si="5"/>
        <v>0</v>
      </c>
      <c r="G37" s="122">
        <f t="shared" si="0"/>
        <v>5.7599999999999998E-2</v>
      </c>
      <c r="H37" s="124">
        <v>44264</v>
      </c>
      <c r="I37" s="127">
        <v>44260</v>
      </c>
      <c r="J37" s="241">
        <f t="shared" si="12"/>
        <v>4</v>
      </c>
      <c r="K37" s="122">
        <f t="shared" si="10"/>
        <v>0.58219199999999993</v>
      </c>
      <c r="L37" s="362">
        <f t="shared" ref="L37:L93" si="13">L36</f>
        <v>9.35E-2</v>
      </c>
      <c r="M37" s="342">
        <f t="shared" si="11"/>
        <v>0</v>
      </c>
    </row>
    <row r="38" spans="1:13" ht="16.5" customHeight="1" x14ac:dyDescent="0.25">
      <c r="A38" s="279">
        <v>4907</v>
      </c>
      <c r="B38" s="156">
        <v>1</v>
      </c>
      <c r="C38" s="157" t="s">
        <v>35</v>
      </c>
      <c r="D38" s="122">
        <v>51.27</v>
      </c>
      <c r="E38" s="123">
        <f t="shared" si="4"/>
        <v>51.27</v>
      </c>
      <c r="F38" s="122">
        <f t="shared" si="5"/>
        <v>0</v>
      </c>
      <c r="G38" s="122">
        <f t="shared" si="0"/>
        <v>4.1016000000000004</v>
      </c>
      <c r="H38" s="127">
        <v>44260</v>
      </c>
      <c r="I38" s="127">
        <v>44260</v>
      </c>
      <c r="J38" s="241">
        <f t="shared" si="12"/>
        <v>0</v>
      </c>
      <c r="K38" s="122">
        <f t="shared" si="10"/>
        <v>41.456921999999999</v>
      </c>
      <c r="L38" s="362">
        <f t="shared" si="13"/>
        <v>9.35E-2</v>
      </c>
      <c r="M38" s="342">
        <f t="shared" si="11"/>
        <v>0</v>
      </c>
    </row>
    <row r="39" spans="1:13" ht="16.5" customHeight="1" x14ac:dyDescent="0.25">
      <c r="A39" s="279">
        <v>5079</v>
      </c>
      <c r="B39" s="156">
        <v>1</v>
      </c>
      <c r="C39" s="157" t="s">
        <v>37</v>
      </c>
      <c r="D39" s="122">
        <v>1533.01</v>
      </c>
      <c r="E39" s="123">
        <f t="shared" si="4"/>
        <v>1533.01</v>
      </c>
      <c r="F39" s="122">
        <f t="shared" si="5"/>
        <v>0</v>
      </c>
      <c r="G39" s="122">
        <f t="shared" si="0"/>
        <v>122.6408</v>
      </c>
      <c r="H39" s="127">
        <v>44264</v>
      </c>
      <c r="I39" s="127">
        <v>44260</v>
      </c>
      <c r="J39" s="241">
        <f t="shared" si="12"/>
        <v>4</v>
      </c>
      <c r="K39" s="122">
        <f t="shared" si="10"/>
        <v>1239.5918859999999</v>
      </c>
      <c r="L39" s="362">
        <f t="shared" si="13"/>
        <v>9.35E-2</v>
      </c>
      <c r="M39" s="342">
        <f t="shared" si="11"/>
        <v>0</v>
      </c>
    </row>
    <row r="40" spans="1:13" ht="16.5" customHeight="1" x14ac:dyDescent="0.25">
      <c r="A40" s="279">
        <v>5073</v>
      </c>
      <c r="B40" s="156">
        <v>1</v>
      </c>
      <c r="C40" s="157" t="s">
        <v>38</v>
      </c>
      <c r="D40" s="122">
        <v>2593.0700000000002</v>
      </c>
      <c r="E40" s="123">
        <f t="shared" si="4"/>
        <v>2593.0700000000002</v>
      </c>
      <c r="F40" s="122">
        <f t="shared" si="5"/>
        <v>0</v>
      </c>
      <c r="G40" s="122">
        <f t="shared" si="0"/>
        <v>207.44560000000001</v>
      </c>
      <c r="H40" s="127">
        <v>44287</v>
      </c>
      <c r="I40" s="127">
        <v>44260</v>
      </c>
      <c r="J40" s="241">
        <f t="shared" si="12"/>
        <v>27</v>
      </c>
      <c r="K40" s="122">
        <f t="shared" si="10"/>
        <v>2096.7564020000004</v>
      </c>
      <c r="L40" s="362">
        <f t="shared" si="13"/>
        <v>9.35E-2</v>
      </c>
      <c r="M40" s="342">
        <f t="shared" si="11"/>
        <v>0</v>
      </c>
    </row>
    <row r="41" spans="1:13" ht="16.5" customHeight="1" x14ac:dyDescent="0.25">
      <c r="A41" s="279">
        <v>4637</v>
      </c>
      <c r="B41" s="156">
        <v>1</v>
      </c>
      <c r="C41" s="157" t="s">
        <v>20</v>
      </c>
      <c r="D41" s="122">
        <v>1.71</v>
      </c>
      <c r="E41" s="123">
        <f>ROUND(D41*B41,2)</f>
        <v>1.71</v>
      </c>
      <c r="F41" s="122">
        <f>D41-E41</f>
        <v>0</v>
      </c>
      <c r="G41" s="122">
        <f t="shared" si="0"/>
        <v>0.1368</v>
      </c>
      <c r="H41" s="127">
        <v>44264</v>
      </c>
      <c r="I41" s="127">
        <v>44260</v>
      </c>
      <c r="J41" s="241">
        <f t="shared" si="12"/>
        <v>4</v>
      </c>
      <c r="K41" s="122">
        <f t="shared" si="10"/>
        <v>1.382706</v>
      </c>
      <c r="L41" s="362">
        <f t="shared" si="13"/>
        <v>9.35E-2</v>
      </c>
      <c r="M41" s="342">
        <f t="shared" si="11"/>
        <v>0</v>
      </c>
    </row>
    <row r="42" spans="1:13" ht="16.5" customHeight="1" x14ac:dyDescent="0.25">
      <c r="A42" s="279">
        <v>2961</v>
      </c>
      <c r="B42" s="156">
        <v>1</v>
      </c>
      <c r="C42" s="157" t="s">
        <v>39</v>
      </c>
      <c r="D42" s="122">
        <v>6.01</v>
      </c>
      <c r="E42" s="123">
        <f t="shared" si="4"/>
        <v>6.01</v>
      </c>
      <c r="F42" s="122">
        <f t="shared" si="5"/>
        <v>0</v>
      </c>
      <c r="G42" s="122">
        <f t="shared" si="0"/>
        <v>0.48080000000000001</v>
      </c>
      <c r="H42" s="127">
        <v>44264</v>
      </c>
      <c r="I42" s="127">
        <v>44260</v>
      </c>
      <c r="J42" s="241">
        <f t="shared" si="12"/>
        <v>4</v>
      </c>
      <c r="K42" s="122">
        <f t="shared" si="10"/>
        <v>4.859686</v>
      </c>
      <c r="L42" s="362">
        <f t="shared" si="13"/>
        <v>9.35E-2</v>
      </c>
      <c r="M42" s="342">
        <f t="shared" si="11"/>
        <v>0</v>
      </c>
    </row>
    <row r="43" spans="1:13" ht="16.5" customHeight="1" x14ac:dyDescent="0.25">
      <c r="A43" s="279">
        <v>108</v>
      </c>
      <c r="B43" s="156">
        <v>1</v>
      </c>
      <c r="C43" s="157" t="s">
        <v>40</v>
      </c>
      <c r="D43" s="122">
        <v>9.76</v>
      </c>
      <c r="E43" s="123">
        <f t="shared" si="4"/>
        <v>9.76</v>
      </c>
      <c r="F43" s="122">
        <f t="shared" si="5"/>
        <v>0</v>
      </c>
      <c r="G43" s="122">
        <f t="shared" si="0"/>
        <v>0.78080000000000005</v>
      </c>
      <c r="H43" s="127">
        <v>44264</v>
      </c>
      <c r="I43" s="127">
        <v>44260</v>
      </c>
      <c r="J43" s="241">
        <f t="shared" si="12"/>
        <v>4</v>
      </c>
      <c r="K43" s="122">
        <f t="shared" si="10"/>
        <v>7.8919359999999994</v>
      </c>
      <c r="L43" s="362">
        <f t="shared" si="13"/>
        <v>9.35E-2</v>
      </c>
      <c r="M43" s="342">
        <f t="shared" si="11"/>
        <v>0</v>
      </c>
    </row>
    <row r="44" spans="1:13" ht="16.5" customHeight="1" x14ac:dyDescent="0.25">
      <c r="A44" s="279">
        <v>5048</v>
      </c>
      <c r="B44" s="156">
        <v>1</v>
      </c>
      <c r="C44" s="157" t="s">
        <v>41</v>
      </c>
      <c r="D44" s="122">
        <v>1031.99</v>
      </c>
      <c r="E44" s="123">
        <f t="shared" si="4"/>
        <v>1031.99</v>
      </c>
      <c r="F44" s="122">
        <f t="shared" si="5"/>
        <v>0</v>
      </c>
      <c r="G44" s="122">
        <f t="shared" si="0"/>
        <v>82.559200000000004</v>
      </c>
      <c r="H44" s="127">
        <v>44264</v>
      </c>
      <c r="I44" s="127">
        <v>44260</v>
      </c>
      <c r="J44" s="241">
        <f t="shared" si="12"/>
        <v>4</v>
      </c>
      <c r="K44" s="122">
        <f t="shared" si="10"/>
        <v>834.46711400000004</v>
      </c>
      <c r="L44" s="362">
        <f t="shared" si="13"/>
        <v>9.35E-2</v>
      </c>
      <c r="M44" s="342">
        <f t="shared" si="11"/>
        <v>0</v>
      </c>
    </row>
    <row r="45" spans="1:13" ht="16.5" customHeight="1" x14ac:dyDescent="0.25">
      <c r="A45" s="279">
        <v>5045</v>
      </c>
      <c r="B45" s="156">
        <v>1</v>
      </c>
      <c r="C45" s="157" t="s">
        <v>42</v>
      </c>
      <c r="D45" s="122">
        <v>1532.97</v>
      </c>
      <c r="E45" s="123">
        <f t="shared" si="4"/>
        <v>1532.97</v>
      </c>
      <c r="F45" s="122">
        <f t="shared" si="5"/>
        <v>0</v>
      </c>
      <c r="G45" s="122">
        <f t="shared" si="0"/>
        <v>122.63760000000001</v>
      </c>
      <c r="H45" s="127">
        <v>44264</v>
      </c>
      <c r="I45" s="127">
        <v>44260</v>
      </c>
      <c r="J45" s="241">
        <f t="shared" si="12"/>
        <v>4</v>
      </c>
      <c r="K45" s="122">
        <f t="shared" si="10"/>
        <v>1239.559542</v>
      </c>
      <c r="L45" s="362">
        <f t="shared" si="13"/>
        <v>9.35E-2</v>
      </c>
      <c r="M45" s="342">
        <f t="shared" si="11"/>
        <v>0</v>
      </c>
    </row>
    <row r="46" spans="1:13" ht="16.5" customHeight="1" x14ac:dyDescent="0.25">
      <c r="A46" s="279">
        <v>2526</v>
      </c>
      <c r="B46" s="156">
        <v>1</v>
      </c>
      <c r="C46" s="157" t="s">
        <v>43</v>
      </c>
      <c r="D46" s="122">
        <v>102.54</v>
      </c>
      <c r="E46" s="123">
        <f t="shared" si="4"/>
        <v>102.54</v>
      </c>
      <c r="F46" s="122">
        <f t="shared" si="5"/>
        <v>0</v>
      </c>
      <c r="G46" s="122">
        <f t="shared" si="0"/>
        <v>8.2032000000000007</v>
      </c>
      <c r="H46" s="127">
        <v>44260</v>
      </c>
      <c r="I46" s="127">
        <v>44260</v>
      </c>
      <c r="J46" s="241">
        <f t="shared" si="12"/>
        <v>0</v>
      </c>
      <c r="K46" s="122">
        <f t="shared" si="10"/>
        <v>82.913843999999997</v>
      </c>
      <c r="L46" s="362">
        <f t="shared" si="13"/>
        <v>9.35E-2</v>
      </c>
      <c r="M46" s="342">
        <f t="shared" si="11"/>
        <v>0</v>
      </c>
    </row>
    <row r="47" spans="1:13" ht="16.5" customHeight="1" x14ac:dyDescent="0.25">
      <c r="A47" s="279">
        <v>4605</v>
      </c>
      <c r="B47" s="156">
        <v>1</v>
      </c>
      <c r="C47" s="157" t="s">
        <v>44</v>
      </c>
      <c r="D47" s="122">
        <v>5.63</v>
      </c>
      <c r="E47" s="123">
        <f>ROUND(D47*B47,2)</f>
        <v>5.63</v>
      </c>
      <c r="F47" s="122">
        <f>D47-E47</f>
        <v>0</v>
      </c>
      <c r="G47" s="122">
        <f t="shared" si="0"/>
        <v>0.45040000000000002</v>
      </c>
      <c r="H47" s="127">
        <v>44264</v>
      </c>
      <c r="I47" s="127">
        <v>44260</v>
      </c>
      <c r="J47" s="241">
        <f t="shared" si="12"/>
        <v>4</v>
      </c>
      <c r="K47" s="122">
        <f t="shared" si="10"/>
        <v>4.5524180000000003</v>
      </c>
      <c r="L47" s="362">
        <f t="shared" si="13"/>
        <v>9.35E-2</v>
      </c>
      <c r="M47" s="342">
        <f t="shared" si="11"/>
        <v>0</v>
      </c>
    </row>
    <row r="48" spans="1:13" ht="16.5" customHeight="1" x14ac:dyDescent="0.25">
      <c r="A48" s="279">
        <v>4130</v>
      </c>
      <c r="B48" s="156">
        <v>1</v>
      </c>
      <c r="C48" s="157" t="s">
        <v>46</v>
      </c>
      <c r="D48" s="122">
        <v>5.28</v>
      </c>
      <c r="E48" s="123">
        <f t="shared" si="4"/>
        <v>5.28</v>
      </c>
      <c r="F48" s="122">
        <f t="shared" si="5"/>
        <v>0</v>
      </c>
      <c r="G48" s="122">
        <f t="shared" si="0"/>
        <v>0.42240000000000005</v>
      </c>
      <c r="H48" s="127">
        <v>44264</v>
      </c>
      <c r="I48" s="127">
        <v>44260</v>
      </c>
      <c r="J48" s="241">
        <f t="shared" si="12"/>
        <v>4</v>
      </c>
      <c r="K48" s="122">
        <f t="shared" si="10"/>
        <v>4.2694079999999994</v>
      </c>
      <c r="L48" s="362">
        <f>L47</f>
        <v>9.35E-2</v>
      </c>
      <c r="M48" s="342">
        <f t="shared" si="11"/>
        <v>0</v>
      </c>
    </row>
    <row r="49" spans="1:13" ht="16.5" customHeight="1" x14ac:dyDescent="0.25">
      <c r="A49" s="279">
        <v>4666</v>
      </c>
      <c r="B49" s="156">
        <v>1</v>
      </c>
      <c r="C49" s="157" t="s">
        <v>47</v>
      </c>
      <c r="D49" s="122">
        <v>6.63</v>
      </c>
      <c r="E49" s="123">
        <f t="shared" si="4"/>
        <v>6.63</v>
      </c>
      <c r="F49" s="122">
        <f t="shared" si="5"/>
        <v>0</v>
      </c>
      <c r="G49" s="122">
        <f t="shared" si="0"/>
        <v>0.53039999999999998</v>
      </c>
      <c r="H49" s="124">
        <v>44264</v>
      </c>
      <c r="I49" s="127">
        <v>44260</v>
      </c>
      <c r="J49" s="241">
        <f t="shared" si="12"/>
        <v>4</v>
      </c>
      <c r="K49" s="122">
        <f t="shared" si="10"/>
        <v>5.3610179999999996</v>
      </c>
      <c r="L49" s="362">
        <f t="shared" si="13"/>
        <v>9.35E-2</v>
      </c>
      <c r="M49" s="342">
        <f t="shared" si="11"/>
        <v>0</v>
      </c>
    </row>
    <row r="50" spans="1:13" ht="16.5" customHeight="1" x14ac:dyDescent="0.25">
      <c r="A50" s="279">
        <v>4906</v>
      </c>
      <c r="B50" s="156">
        <v>1</v>
      </c>
      <c r="C50" s="158" t="s">
        <v>2</v>
      </c>
      <c r="D50" s="122">
        <v>7.14</v>
      </c>
      <c r="E50" s="123">
        <f>ROUND(D50*B50,2)</f>
        <v>7.14</v>
      </c>
      <c r="F50" s="122">
        <f>D50-E50</f>
        <v>0</v>
      </c>
      <c r="G50" s="122">
        <f t="shared" si="0"/>
        <v>0.57120000000000004</v>
      </c>
      <c r="H50" s="124">
        <v>44264</v>
      </c>
      <c r="I50" s="127">
        <v>44260</v>
      </c>
      <c r="J50" s="241">
        <f t="shared" si="12"/>
        <v>4</v>
      </c>
      <c r="K50" s="122">
        <f t="shared" si="10"/>
        <v>5.7734039999999993</v>
      </c>
      <c r="L50" s="362">
        <f t="shared" si="13"/>
        <v>9.35E-2</v>
      </c>
      <c r="M50" s="342">
        <f t="shared" si="11"/>
        <v>0</v>
      </c>
    </row>
    <row r="51" spans="1:13" ht="16.5" customHeight="1" x14ac:dyDescent="0.25">
      <c r="A51" s="279">
        <v>2920</v>
      </c>
      <c r="B51" s="156">
        <v>1</v>
      </c>
      <c r="C51" s="157" t="s">
        <v>48</v>
      </c>
      <c r="D51" s="122">
        <v>5.28</v>
      </c>
      <c r="E51" s="123">
        <f t="shared" si="4"/>
        <v>5.28</v>
      </c>
      <c r="F51" s="122">
        <f t="shared" si="5"/>
        <v>0</v>
      </c>
      <c r="G51" s="122">
        <f t="shared" si="0"/>
        <v>0.42240000000000005</v>
      </c>
      <c r="H51" s="127">
        <v>44264</v>
      </c>
      <c r="I51" s="127">
        <v>44260</v>
      </c>
      <c r="J51" s="241">
        <f t="shared" si="12"/>
        <v>4</v>
      </c>
      <c r="K51" s="122">
        <f t="shared" si="10"/>
        <v>4.2694079999999994</v>
      </c>
      <c r="L51" s="362">
        <f t="shared" si="13"/>
        <v>9.35E-2</v>
      </c>
      <c r="M51" s="342">
        <f t="shared" si="11"/>
        <v>0</v>
      </c>
    </row>
    <row r="52" spans="1:13" ht="16.5" customHeight="1" x14ac:dyDescent="0.25">
      <c r="A52" s="279">
        <v>5127</v>
      </c>
      <c r="B52" s="156">
        <v>1</v>
      </c>
      <c r="C52" s="157" t="s">
        <v>50</v>
      </c>
      <c r="D52" s="122">
        <v>1529.21</v>
      </c>
      <c r="E52" s="123">
        <f t="shared" si="4"/>
        <v>1529.21</v>
      </c>
      <c r="F52" s="122">
        <f t="shared" si="5"/>
        <v>0</v>
      </c>
      <c r="G52" s="122">
        <f t="shared" si="0"/>
        <v>122.33680000000001</v>
      </c>
      <c r="H52" s="127">
        <v>44264</v>
      </c>
      <c r="I52" s="127">
        <v>44260</v>
      </c>
      <c r="J52" s="241">
        <f t="shared" si="12"/>
        <v>4</v>
      </c>
      <c r="K52" s="122">
        <f t="shared" si="10"/>
        <v>1236.5192059999999</v>
      </c>
      <c r="L52" s="362">
        <f t="shared" si="13"/>
        <v>9.35E-2</v>
      </c>
      <c r="M52" s="342">
        <f t="shared" si="11"/>
        <v>0</v>
      </c>
    </row>
    <row r="53" spans="1:13" ht="16.5" customHeight="1" x14ac:dyDescent="0.25">
      <c r="A53" s="279">
        <v>4996</v>
      </c>
      <c r="B53" s="156">
        <v>1</v>
      </c>
      <c r="C53" s="157" t="s">
        <v>51</v>
      </c>
      <c r="D53" s="122">
        <v>55.75</v>
      </c>
      <c r="E53" s="123">
        <f>ROUND(D53*B53,2)</f>
        <v>55.75</v>
      </c>
      <c r="F53" s="122">
        <f>D53-E53</f>
        <v>0</v>
      </c>
      <c r="G53" s="122">
        <f t="shared" si="0"/>
        <v>4.46</v>
      </c>
      <c r="H53" s="127">
        <v>44264</v>
      </c>
      <c r="I53" s="127">
        <v>44260</v>
      </c>
      <c r="J53" s="241">
        <f t="shared" si="12"/>
        <v>4</v>
      </c>
      <c r="K53" s="122">
        <f t="shared" si="10"/>
        <v>45.079450000000001</v>
      </c>
      <c r="L53" s="362">
        <f t="shared" si="13"/>
        <v>9.35E-2</v>
      </c>
      <c r="M53" s="342">
        <f t="shared" si="11"/>
        <v>0</v>
      </c>
    </row>
    <row r="54" spans="1:13" ht="16.5" customHeight="1" x14ac:dyDescent="0.25">
      <c r="A54" s="279">
        <v>4693</v>
      </c>
      <c r="B54" s="156">
        <v>1</v>
      </c>
      <c r="C54" s="157" t="s">
        <v>52</v>
      </c>
      <c r="D54" s="122">
        <v>54.63</v>
      </c>
      <c r="E54" s="123">
        <f>ROUND(D54*B54,2)</f>
        <v>54.63</v>
      </c>
      <c r="F54" s="122">
        <f>D54-E54</f>
        <v>0</v>
      </c>
      <c r="G54" s="122">
        <f t="shared" si="0"/>
        <v>4.3704000000000001</v>
      </c>
      <c r="H54" s="127">
        <v>44264</v>
      </c>
      <c r="I54" s="127">
        <v>44260</v>
      </c>
      <c r="J54" s="241">
        <f t="shared" si="12"/>
        <v>4</v>
      </c>
      <c r="K54" s="122">
        <f t="shared" si="10"/>
        <v>44.173817999999997</v>
      </c>
      <c r="L54" s="362">
        <f t="shared" si="13"/>
        <v>9.35E-2</v>
      </c>
      <c r="M54" s="342">
        <f t="shared" si="11"/>
        <v>0</v>
      </c>
    </row>
    <row r="55" spans="1:13" ht="16.5" customHeight="1" x14ac:dyDescent="0.25">
      <c r="A55" s="279">
        <v>5047</v>
      </c>
      <c r="B55" s="156">
        <v>1</v>
      </c>
      <c r="C55" s="157" t="s">
        <v>53</v>
      </c>
      <c r="D55" s="122">
        <v>2164.9899999999998</v>
      </c>
      <c r="E55" s="123">
        <v>1200</v>
      </c>
      <c r="F55" s="122">
        <v>0</v>
      </c>
      <c r="G55" s="122">
        <f t="shared" si="0"/>
        <v>173.19919999999999</v>
      </c>
      <c r="H55" s="127">
        <v>44277</v>
      </c>
      <c r="I55" s="127">
        <v>44260</v>
      </c>
      <c r="J55" s="241">
        <f t="shared" si="12"/>
        <v>17</v>
      </c>
      <c r="K55" s="122">
        <f t="shared" si="10"/>
        <v>1750.6109139999999</v>
      </c>
      <c r="L55" s="362">
        <f t="shared" si="13"/>
        <v>9.35E-2</v>
      </c>
      <c r="M55" s="342">
        <f t="shared" si="11"/>
        <v>0</v>
      </c>
    </row>
    <row r="56" spans="1:13" ht="16.5" customHeight="1" x14ac:dyDescent="0.25">
      <c r="A56" s="279">
        <v>5047</v>
      </c>
      <c r="B56" s="156">
        <v>1</v>
      </c>
      <c r="C56" s="157" t="s">
        <v>53</v>
      </c>
      <c r="D56" s="122">
        <v>0</v>
      </c>
      <c r="E56" s="123">
        <f>D55-E55</f>
        <v>964.98999999999978</v>
      </c>
      <c r="F56" s="122">
        <f>D55-E55-E56</f>
        <v>0</v>
      </c>
      <c r="G56" s="122">
        <f t="shared" si="0"/>
        <v>0</v>
      </c>
      <c r="H56" s="127">
        <v>44281</v>
      </c>
      <c r="I56" s="127">
        <v>44260</v>
      </c>
      <c r="J56" s="241">
        <f t="shared" si="12"/>
        <v>21</v>
      </c>
      <c r="K56" s="122">
        <f t="shared" si="10"/>
        <v>0</v>
      </c>
      <c r="L56" s="362">
        <f t="shared" si="13"/>
        <v>9.35E-2</v>
      </c>
      <c r="M56" s="342">
        <f t="shared" si="11"/>
        <v>0</v>
      </c>
    </row>
    <row r="57" spans="1:13" ht="16.5" customHeight="1" x14ac:dyDescent="0.25">
      <c r="A57" s="279">
        <v>230</v>
      </c>
      <c r="B57" s="156">
        <v>1</v>
      </c>
      <c r="C57" s="157" t="s">
        <v>54</v>
      </c>
      <c r="D57" s="122">
        <v>9.9600000000000009</v>
      </c>
      <c r="E57" s="123">
        <f t="shared" si="4"/>
        <v>9.9600000000000009</v>
      </c>
      <c r="F57" s="122">
        <f t="shared" si="5"/>
        <v>0</v>
      </c>
      <c r="G57" s="122">
        <f t="shared" si="0"/>
        <v>0.79680000000000006</v>
      </c>
      <c r="H57" s="127">
        <v>44264</v>
      </c>
      <c r="I57" s="127">
        <v>44260</v>
      </c>
      <c r="J57" s="241">
        <f t="shared" si="12"/>
        <v>4</v>
      </c>
      <c r="K57" s="122">
        <f t="shared" si="10"/>
        <v>8.0536560000000001</v>
      </c>
      <c r="L57" s="362">
        <f t="shared" si="13"/>
        <v>9.35E-2</v>
      </c>
      <c r="M57" s="342">
        <f t="shared" si="11"/>
        <v>0</v>
      </c>
    </row>
    <row r="58" spans="1:13" ht="16.5" customHeight="1" x14ac:dyDescent="0.25">
      <c r="A58" s="279">
        <v>4959</v>
      </c>
      <c r="B58" s="156">
        <v>1</v>
      </c>
      <c r="C58" s="157" t="s">
        <v>55</v>
      </c>
      <c r="D58" s="122">
        <v>4.33</v>
      </c>
      <c r="E58" s="123">
        <f t="shared" si="4"/>
        <v>4.33</v>
      </c>
      <c r="F58" s="122">
        <f t="shared" si="5"/>
        <v>0</v>
      </c>
      <c r="G58" s="122">
        <f t="shared" si="0"/>
        <v>0.34639999999999999</v>
      </c>
      <c r="H58" s="127">
        <v>44264</v>
      </c>
      <c r="I58" s="127">
        <v>44260</v>
      </c>
      <c r="J58" s="241">
        <f t="shared" si="12"/>
        <v>4</v>
      </c>
      <c r="K58" s="122">
        <f t="shared" si="10"/>
        <v>3.5012380000000003</v>
      </c>
      <c r="L58" s="362">
        <f t="shared" si="13"/>
        <v>9.35E-2</v>
      </c>
      <c r="M58" s="342">
        <f t="shared" si="11"/>
        <v>0</v>
      </c>
    </row>
    <row r="59" spans="1:13" ht="16.5" customHeight="1" x14ac:dyDescent="0.25">
      <c r="A59" s="279">
        <v>4808</v>
      </c>
      <c r="B59" s="156">
        <v>1</v>
      </c>
      <c r="C59" s="157" t="s">
        <v>56</v>
      </c>
      <c r="D59" s="122">
        <v>1213.83</v>
      </c>
      <c r="E59" s="123">
        <f>ROUND(D59*B59,2)</f>
        <v>1213.83</v>
      </c>
      <c r="F59" s="122">
        <f>D59-E59</f>
        <v>0</v>
      </c>
      <c r="G59" s="122">
        <f t="shared" si="0"/>
        <v>97.106399999999994</v>
      </c>
      <c r="H59" s="127">
        <v>44264</v>
      </c>
      <c r="I59" s="127">
        <v>44260</v>
      </c>
      <c r="J59" s="241">
        <f t="shared" si="12"/>
        <v>4</v>
      </c>
      <c r="K59" s="122">
        <f t="shared" si="10"/>
        <v>981.50293799999997</v>
      </c>
      <c r="L59" s="362">
        <f t="shared" si="13"/>
        <v>9.35E-2</v>
      </c>
      <c r="M59" s="342">
        <f t="shared" si="11"/>
        <v>0</v>
      </c>
    </row>
    <row r="60" spans="1:13" ht="16.5" customHeight="1" x14ac:dyDescent="0.25">
      <c r="A60" s="279">
        <v>5019</v>
      </c>
      <c r="B60" s="156">
        <v>1</v>
      </c>
      <c r="C60" s="157" t="s">
        <v>57</v>
      </c>
      <c r="D60" s="122">
        <v>4.1500000000000004</v>
      </c>
      <c r="E60" s="123">
        <f t="shared" si="4"/>
        <v>4.1500000000000004</v>
      </c>
      <c r="F60" s="122">
        <f t="shared" si="5"/>
        <v>0</v>
      </c>
      <c r="G60" s="122">
        <f t="shared" si="0"/>
        <v>0.33200000000000002</v>
      </c>
      <c r="H60" s="127">
        <v>44264</v>
      </c>
      <c r="I60" s="127">
        <v>44260</v>
      </c>
      <c r="J60" s="241">
        <f t="shared" si="12"/>
        <v>4</v>
      </c>
      <c r="K60" s="122">
        <f t="shared" si="10"/>
        <v>3.3556900000000005</v>
      </c>
      <c r="L60" s="362">
        <f t="shared" si="13"/>
        <v>9.35E-2</v>
      </c>
      <c r="M60" s="342">
        <f t="shared" si="11"/>
        <v>0</v>
      </c>
    </row>
    <row r="61" spans="1:13" ht="16.5" customHeight="1" x14ac:dyDescent="0.25">
      <c r="A61" s="279">
        <v>4150</v>
      </c>
      <c r="B61" s="156">
        <v>1</v>
      </c>
      <c r="C61" s="157" t="s">
        <v>58</v>
      </c>
      <c r="D61" s="122">
        <v>3.87</v>
      </c>
      <c r="E61" s="123">
        <f t="shared" si="4"/>
        <v>3.87</v>
      </c>
      <c r="F61" s="122">
        <f t="shared" si="5"/>
        <v>0</v>
      </c>
      <c r="G61" s="122">
        <f t="shared" si="0"/>
        <v>0.30960000000000004</v>
      </c>
      <c r="H61" s="127">
        <v>44264</v>
      </c>
      <c r="I61" s="127">
        <v>44260</v>
      </c>
      <c r="J61" s="241">
        <f t="shared" si="12"/>
        <v>4</v>
      </c>
      <c r="K61" s="122">
        <f t="shared" si="10"/>
        <v>3.1292820000000003</v>
      </c>
      <c r="L61" s="362">
        <f t="shared" si="13"/>
        <v>9.35E-2</v>
      </c>
      <c r="M61" s="342">
        <f t="shared" si="11"/>
        <v>0</v>
      </c>
    </row>
    <row r="62" spans="1:13" s="142" customFormat="1" ht="16.5" customHeight="1" x14ac:dyDescent="0.25">
      <c r="A62" s="279">
        <v>4820</v>
      </c>
      <c r="B62" s="156">
        <v>1</v>
      </c>
      <c r="C62" s="157" t="s">
        <v>59</v>
      </c>
      <c r="D62" s="122">
        <v>4.68</v>
      </c>
      <c r="E62" s="123">
        <f>ROUND(D62*B62,2)</f>
        <v>4.68</v>
      </c>
      <c r="F62" s="122">
        <f>D62-E62</f>
        <v>0</v>
      </c>
      <c r="G62" s="122">
        <f t="shared" si="0"/>
        <v>0.37440000000000001</v>
      </c>
      <c r="H62" s="127">
        <v>44264</v>
      </c>
      <c r="I62" s="127">
        <v>44260</v>
      </c>
      <c r="J62" s="241">
        <f t="shared" si="12"/>
        <v>4</v>
      </c>
      <c r="K62" s="122">
        <f t="shared" si="10"/>
        <v>3.7842479999999994</v>
      </c>
      <c r="L62" s="362">
        <f t="shared" si="13"/>
        <v>9.35E-2</v>
      </c>
      <c r="M62" s="342">
        <f t="shared" si="11"/>
        <v>0</v>
      </c>
    </row>
    <row r="63" spans="1:13" ht="16.5" customHeight="1" x14ac:dyDescent="0.25">
      <c r="A63" s="279">
        <v>4952</v>
      </c>
      <c r="B63" s="156">
        <v>1</v>
      </c>
      <c r="C63" s="157" t="s">
        <v>60</v>
      </c>
      <c r="D63" s="122">
        <v>1265.83</v>
      </c>
      <c r="E63" s="123">
        <f>ROUND(D63*B63,2)</f>
        <v>1265.83</v>
      </c>
      <c r="F63" s="122">
        <f>D63-E63</f>
        <v>0</v>
      </c>
      <c r="G63" s="122">
        <f t="shared" si="0"/>
        <v>101.26639999999999</v>
      </c>
      <c r="H63" s="127">
        <v>44264</v>
      </c>
      <c r="I63" s="127">
        <v>44260</v>
      </c>
      <c r="J63" s="241">
        <f t="shared" si="12"/>
        <v>4</v>
      </c>
      <c r="K63" s="122">
        <f t="shared" si="10"/>
        <v>1023.5501379999998</v>
      </c>
      <c r="L63" s="362">
        <f t="shared" si="13"/>
        <v>9.35E-2</v>
      </c>
      <c r="M63" s="342">
        <f t="shared" si="11"/>
        <v>0</v>
      </c>
    </row>
    <row r="64" spans="1:13" ht="16.5" customHeight="1" x14ac:dyDescent="0.25">
      <c r="A64" s="279">
        <v>5000</v>
      </c>
      <c r="B64" s="156">
        <v>1</v>
      </c>
      <c r="C64" s="157" t="s">
        <v>61</v>
      </c>
      <c r="D64" s="122">
        <v>54.11</v>
      </c>
      <c r="E64" s="123">
        <f t="shared" si="4"/>
        <v>54.11</v>
      </c>
      <c r="F64" s="122">
        <f t="shared" ref="F64:F97" si="14">D64-E64</f>
        <v>0</v>
      </c>
      <c r="G64" s="122">
        <f t="shared" si="0"/>
        <v>4.3288000000000002</v>
      </c>
      <c r="H64" s="127">
        <v>44264</v>
      </c>
      <c r="I64" s="127">
        <v>44260</v>
      </c>
      <c r="J64" s="241">
        <f t="shared" si="12"/>
        <v>4</v>
      </c>
      <c r="K64" s="122">
        <f t="shared" si="10"/>
        <v>43.753346000000001</v>
      </c>
      <c r="L64" s="362">
        <f t="shared" si="13"/>
        <v>9.35E-2</v>
      </c>
      <c r="M64" s="342">
        <f t="shared" si="11"/>
        <v>0</v>
      </c>
    </row>
    <row r="65" spans="1:13" ht="16.5" customHeight="1" x14ac:dyDescent="0.25">
      <c r="A65" s="279">
        <v>5086</v>
      </c>
      <c r="B65" s="156">
        <v>1</v>
      </c>
      <c r="C65" s="157" t="s">
        <v>62</v>
      </c>
      <c r="D65" s="122">
        <v>2.85</v>
      </c>
      <c r="E65" s="123">
        <f t="shared" si="4"/>
        <v>2.85</v>
      </c>
      <c r="F65" s="122">
        <f t="shared" si="14"/>
        <v>0</v>
      </c>
      <c r="G65" s="122">
        <f t="shared" si="0"/>
        <v>0.22800000000000001</v>
      </c>
      <c r="H65" s="127">
        <v>44264</v>
      </c>
      <c r="I65" s="127">
        <v>44260</v>
      </c>
      <c r="J65" s="241">
        <f t="shared" si="12"/>
        <v>4</v>
      </c>
      <c r="K65" s="122">
        <f t="shared" si="10"/>
        <v>2.3045100000000001</v>
      </c>
      <c r="L65" s="362">
        <f t="shared" si="13"/>
        <v>9.35E-2</v>
      </c>
      <c r="M65" s="342">
        <f t="shared" si="11"/>
        <v>0</v>
      </c>
    </row>
    <row r="66" spans="1:13" ht="16.5" customHeight="1" x14ac:dyDescent="0.25">
      <c r="A66" s="279">
        <v>329</v>
      </c>
      <c r="B66" s="156">
        <v>1</v>
      </c>
      <c r="C66" s="157" t="s">
        <v>64</v>
      </c>
      <c r="D66" s="122">
        <v>10.79</v>
      </c>
      <c r="E66" s="123">
        <f t="shared" si="4"/>
        <v>10.79</v>
      </c>
      <c r="F66" s="122">
        <f t="shared" si="14"/>
        <v>0</v>
      </c>
      <c r="G66" s="122">
        <f t="shared" ref="G66:G99" si="15">D66*8%</f>
        <v>0.86319999999999997</v>
      </c>
      <c r="H66" s="127">
        <v>44264</v>
      </c>
      <c r="I66" s="127">
        <v>44260</v>
      </c>
      <c r="J66" s="241">
        <f t="shared" si="12"/>
        <v>4</v>
      </c>
      <c r="K66" s="122">
        <f t="shared" ref="K66:K97" si="16">(D66*6.22%)*13</f>
        <v>8.7247939999999993</v>
      </c>
      <c r="L66" s="362">
        <f t="shared" si="13"/>
        <v>9.35E-2</v>
      </c>
      <c r="M66" s="342">
        <f t="shared" ref="M66:M93" si="17">SUM(F66)*L66</f>
        <v>0</v>
      </c>
    </row>
    <row r="67" spans="1:13" ht="16.5" customHeight="1" x14ac:dyDescent="0.25">
      <c r="A67" s="279">
        <v>5059</v>
      </c>
      <c r="B67" s="156">
        <v>1</v>
      </c>
      <c r="C67" s="157" t="s">
        <v>65</v>
      </c>
      <c r="D67" s="122">
        <v>467.89</v>
      </c>
      <c r="E67" s="123">
        <f t="shared" ref="E67:E97" si="18">ROUND(D67*B67,2)</f>
        <v>467.89</v>
      </c>
      <c r="F67" s="122">
        <f t="shared" si="14"/>
        <v>0</v>
      </c>
      <c r="G67" s="122">
        <f t="shared" si="15"/>
        <v>37.431199999999997</v>
      </c>
      <c r="H67" s="127">
        <v>44264</v>
      </c>
      <c r="I67" s="127">
        <v>44260</v>
      </c>
      <c r="J67" s="241">
        <f t="shared" si="12"/>
        <v>4</v>
      </c>
      <c r="K67" s="122">
        <f t="shared" si="16"/>
        <v>378.33585399999998</v>
      </c>
      <c r="L67" s="362">
        <f t="shared" si="13"/>
        <v>9.35E-2</v>
      </c>
      <c r="M67" s="342">
        <f t="shared" si="17"/>
        <v>0</v>
      </c>
    </row>
    <row r="68" spans="1:13" ht="16.5" customHeight="1" x14ac:dyDescent="0.25">
      <c r="A68" s="279">
        <v>5115</v>
      </c>
      <c r="B68" s="156">
        <v>1</v>
      </c>
      <c r="C68" s="157" t="s">
        <v>66</v>
      </c>
      <c r="D68" s="122">
        <v>1040.6400000000001</v>
      </c>
      <c r="E68" s="123">
        <f t="shared" si="18"/>
        <v>1040.6400000000001</v>
      </c>
      <c r="F68" s="122">
        <f t="shared" si="14"/>
        <v>0</v>
      </c>
      <c r="G68" s="122">
        <f t="shared" si="15"/>
        <v>83.251200000000011</v>
      </c>
      <c r="H68" s="127">
        <v>44287</v>
      </c>
      <c r="I68" s="127">
        <v>44260</v>
      </c>
      <c r="J68" s="241">
        <f t="shared" si="12"/>
        <v>27</v>
      </c>
      <c r="K68" s="122">
        <f t="shared" si="16"/>
        <v>841.4615040000001</v>
      </c>
      <c r="L68" s="362">
        <f t="shared" si="13"/>
        <v>9.35E-2</v>
      </c>
      <c r="M68" s="342">
        <f t="shared" si="17"/>
        <v>0</v>
      </c>
    </row>
    <row r="69" spans="1:13" ht="16.5" customHeight="1" x14ac:dyDescent="0.25">
      <c r="A69" s="279">
        <v>5128</v>
      </c>
      <c r="B69" s="156">
        <v>1</v>
      </c>
      <c r="C69" s="157" t="s">
        <v>67</v>
      </c>
      <c r="D69" s="122">
        <v>766.96</v>
      </c>
      <c r="E69" s="123">
        <f t="shared" si="18"/>
        <v>766.96</v>
      </c>
      <c r="F69" s="122">
        <f t="shared" si="14"/>
        <v>0</v>
      </c>
      <c r="G69" s="122">
        <f t="shared" si="15"/>
        <v>61.356800000000007</v>
      </c>
      <c r="H69" s="127">
        <v>44265</v>
      </c>
      <c r="I69" s="127">
        <v>44260</v>
      </c>
      <c r="J69" s="241">
        <f t="shared" si="12"/>
        <v>5</v>
      </c>
      <c r="K69" s="122">
        <f t="shared" si="16"/>
        <v>620.16385600000001</v>
      </c>
      <c r="L69" s="362">
        <f t="shared" si="13"/>
        <v>9.35E-2</v>
      </c>
      <c r="M69" s="342">
        <f t="shared" si="17"/>
        <v>0</v>
      </c>
    </row>
    <row r="70" spans="1:13" ht="16.5" customHeight="1" x14ac:dyDescent="0.25">
      <c r="A70" s="279">
        <v>5106</v>
      </c>
      <c r="B70" s="156">
        <v>1</v>
      </c>
      <c r="C70" s="157" t="s">
        <v>68</v>
      </c>
      <c r="D70" s="122">
        <v>633.4</v>
      </c>
      <c r="E70" s="123">
        <f t="shared" si="18"/>
        <v>633.4</v>
      </c>
      <c r="F70" s="122">
        <f t="shared" si="14"/>
        <v>0</v>
      </c>
      <c r="G70" s="122">
        <f t="shared" si="15"/>
        <v>50.671999999999997</v>
      </c>
      <c r="H70" s="127">
        <v>44265</v>
      </c>
      <c r="I70" s="127">
        <v>44260</v>
      </c>
      <c r="J70" s="241">
        <f t="shared" si="12"/>
        <v>5</v>
      </c>
      <c r="K70" s="122">
        <f t="shared" si="16"/>
        <v>512.16723999999988</v>
      </c>
      <c r="L70" s="362">
        <f t="shared" si="13"/>
        <v>9.35E-2</v>
      </c>
      <c r="M70" s="342">
        <f t="shared" si="17"/>
        <v>0</v>
      </c>
    </row>
    <row r="71" spans="1:13" ht="16.5" customHeight="1" x14ac:dyDescent="0.25">
      <c r="A71" s="279">
        <v>5083</v>
      </c>
      <c r="B71" s="156">
        <v>1</v>
      </c>
      <c r="C71" s="157" t="s">
        <v>71</v>
      </c>
      <c r="D71" s="122">
        <v>2.85</v>
      </c>
      <c r="E71" s="123">
        <f t="shared" si="18"/>
        <v>2.85</v>
      </c>
      <c r="F71" s="122">
        <f t="shared" si="14"/>
        <v>0</v>
      </c>
      <c r="G71" s="122">
        <f t="shared" si="15"/>
        <v>0.22800000000000001</v>
      </c>
      <c r="H71" s="124">
        <v>44264</v>
      </c>
      <c r="I71" s="127">
        <v>44260</v>
      </c>
      <c r="J71" s="241">
        <f t="shared" si="12"/>
        <v>4</v>
      </c>
      <c r="K71" s="122">
        <f t="shared" si="16"/>
        <v>2.3045100000000001</v>
      </c>
      <c r="L71" s="362">
        <f>L69</f>
        <v>9.35E-2</v>
      </c>
      <c r="M71" s="342">
        <f t="shared" si="17"/>
        <v>0</v>
      </c>
    </row>
    <row r="72" spans="1:13" ht="16.5" customHeight="1" x14ac:dyDescent="0.25">
      <c r="A72" s="279">
        <v>4285</v>
      </c>
      <c r="B72" s="156">
        <v>1</v>
      </c>
      <c r="C72" s="157" t="s">
        <v>72</v>
      </c>
      <c r="D72" s="122">
        <v>102.54</v>
      </c>
      <c r="E72" s="123">
        <f t="shared" si="18"/>
        <v>102.54</v>
      </c>
      <c r="F72" s="122">
        <f t="shared" si="14"/>
        <v>0</v>
      </c>
      <c r="G72" s="122">
        <f t="shared" si="15"/>
        <v>8.2032000000000007</v>
      </c>
      <c r="H72" s="124">
        <v>44264</v>
      </c>
      <c r="I72" s="127">
        <v>44260</v>
      </c>
      <c r="J72" s="241">
        <f t="shared" si="12"/>
        <v>4</v>
      </c>
      <c r="K72" s="122">
        <f t="shared" si="16"/>
        <v>82.913843999999997</v>
      </c>
      <c r="L72" s="362">
        <f t="shared" si="13"/>
        <v>9.35E-2</v>
      </c>
      <c r="M72" s="342">
        <f t="shared" si="17"/>
        <v>0</v>
      </c>
    </row>
    <row r="73" spans="1:13" ht="16.5" customHeight="1" x14ac:dyDescent="0.25">
      <c r="A73" s="281">
        <v>5121</v>
      </c>
      <c r="B73" s="156">
        <v>1</v>
      </c>
      <c r="C73" s="157" t="s">
        <v>73</v>
      </c>
      <c r="D73" s="122">
        <v>740.1</v>
      </c>
      <c r="E73" s="123">
        <f t="shared" si="18"/>
        <v>740.1</v>
      </c>
      <c r="F73" s="122">
        <f t="shared" si="14"/>
        <v>0</v>
      </c>
      <c r="G73" s="122">
        <f t="shared" si="15"/>
        <v>59.208000000000006</v>
      </c>
      <c r="H73" s="124">
        <v>44264</v>
      </c>
      <c r="I73" s="127">
        <v>44260</v>
      </c>
      <c r="J73" s="241">
        <f t="shared" si="12"/>
        <v>4</v>
      </c>
      <c r="K73" s="122">
        <f t="shared" si="16"/>
        <v>598.44485999999995</v>
      </c>
      <c r="L73" s="362">
        <f t="shared" si="13"/>
        <v>9.35E-2</v>
      </c>
      <c r="M73" s="342">
        <f t="shared" si="17"/>
        <v>0</v>
      </c>
    </row>
    <row r="74" spans="1:13" ht="16.5" customHeight="1" x14ac:dyDescent="0.25">
      <c r="A74" s="279">
        <v>5074</v>
      </c>
      <c r="B74" s="156">
        <v>1</v>
      </c>
      <c r="C74" s="157" t="s">
        <v>74</v>
      </c>
      <c r="D74" s="122">
        <v>3498.01</v>
      </c>
      <c r="E74" s="123">
        <v>2000</v>
      </c>
      <c r="F74" s="122">
        <f>D74-E74-E75</f>
        <v>0</v>
      </c>
      <c r="G74" s="122">
        <f t="shared" si="15"/>
        <v>279.8408</v>
      </c>
      <c r="H74" s="124">
        <v>44265</v>
      </c>
      <c r="I74" s="127">
        <v>44260</v>
      </c>
      <c r="J74" s="241">
        <f t="shared" si="12"/>
        <v>5</v>
      </c>
      <c r="K74" s="122">
        <f t="shared" si="16"/>
        <v>2828.490886</v>
      </c>
      <c r="L74" s="362">
        <f t="shared" si="13"/>
        <v>9.35E-2</v>
      </c>
      <c r="M74" s="342">
        <f t="shared" si="17"/>
        <v>0</v>
      </c>
    </row>
    <row r="75" spans="1:13" ht="16.5" customHeight="1" x14ac:dyDescent="0.25">
      <c r="A75" s="279">
        <v>5074</v>
      </c>
      <c r="B75" s="156">
        <v>1</v>
      </c>
      <c r="C75" s="157" t="s">
        <v>74</v>
      </c>
      <c r="D75" s="122">
        <v>0</v>
      </c>
      <c r="E75" s="123">
        <f>ROUND(D74*B74,2)-2000</f>
        <v>1498.0100000000002</v>
      </c>
      <c r="F75" s="122">
        <f>D74-E74-E75</f>
        <v>0</v>
      </c>
      <c r="G75" s="122">
        <f t="shared" si="15"/>
        <v>0</v>
      </c>
      <c r="H75" s="124">
        <v>44271</v>
      </c>
      <c r="I75" s="127">
        <v>44260</v>
      </c>
      <c r="J75" s="241">
        <f t="shared" si="12"/>
        <v>11</v>
      </c>
      <c r="K75" s="122">
        <f t="shared" si="16"/>
        <v>0</v>
      </c>
      <c r="L75" s="362">
        <f t="shared" si="13"/>
        <v>9.35E-2</v>
      </c>
      <c r="M75" s="342">
        <f t="shared" si="17"/>
        <v>0</v>
      </c>
    </row>
    <row r="76" spans="1:13" ht="16.5" customHeight="1" x14ac:dyDescent="0.25">
      <c r="A76" s="279">
        <v>5100</v>
      </c>
      <c r="B76" s="156">
        <v>1</v>
      </c>
      <c r="C76" s="157" t="s">
        <v>77</v>
      </c>
      <c r="D76" s="122">
        <v>1533.01</v>
      </c>
      <c r="E76" s="123">
        <f t="shared" si="18"/>
        <v>1533.01</v>
      </c>
      <c r="F76" s="122">
        <f t="shared" si="14"/>
        <v>0</v>
      </c>
      <c r="G76" s="122">
        <f t="shared" si="15"/>
        <v>122.6408</v>
      </c>
      <c r="H76" s="124">
        <v>44264</v>
      </c>
      <c r="I76" s="127">
        <v>44260</v>
      </c>
      <c r="J76" s="241">
        <f t="shared" si="12"/>
        <v>4</v>
      </c>
      <c r="K76" s="122">
        <f t="shared" si="16"/>
        <v>1239.5918859999999</v>
      </c>
      <c r="L76" s="362">
        <f t="shared" si="13"/>
        <v>9.35E-2</v>
      </c>
      <c r="M76" s="342">
        <f t="shared" si="17"/>
        <v>0</v>
      </c>
    </row>
    <row r="77" spans="1:13" ht="16.5" customHeight="1" x14ac:dyDescent="0.25">
      <c r="A77" s="279">
        <v>5084</v>
      </c>
      <c r="B77" s="156">
        <v>1</v>
      </c>
      <c r="C77" s="157" t="s">
        <v>78</v>
      </c>
      <c r="D77" s="122">
        <v>1153.8800000000001</v>
      </c>
      <c r="E77" s="123">
        <f t="shared" si="18"/>
        <v>1153.8800000000001</v>
      </c>
      <c r="F77" s="122">
        <f t="shared" si="14"/>
        <v>0</v>
      </c>
      <c r="G77" s="122">
        <f t="shared" si="15"/>
        <v>92.310400000000016</v>
      </c>
      <c r="H77" s="124">
        <v>44264</v>
      </c>
      <c r="I77" s="127">
        <v>44260</v>
      </c>
      <c r="J77" s="241">
        <f t="shared" si="12"/>
        <v>4</v>
      </c>
      <c r="K77" s="122">
        <f t="shared" si="16"/>
        <v>933.02736800000002</v>
      </c>
      <c r="L77" s="362">
        <f t="shared" si="13"/>
        <v>9.35E-2</v>
      </c>
      <c r="M77" s="342">
        <f t="shared" si="17"/>
        <v>0</v>
      </c>
    </row>
    <row r="78" spans="1:13" ht="16.5" customHeight="1" x14ac:dyDescent="0.25">
      <c r="A78" s="279">
        <v>5142</v>
      </c>
      <c r="B78" s="156">
        <v>1</v>
      </c>
      <c r="C78" s="157" t="s">
        <v>79</v>
      </c>
      <c r="D78" s="122">
        <v>770.84</v>
      </c>
      <c r="E78" s="123">
        <f t="shared" si="18"/>
        <v>770.84</v>
      </c>
      <c r="F78" s="122">
        <f t="shared" si="14"/>
        <v>0</v>
      </c>
      <c r="G78" s="122">
        <f t="shared" si="15"/>
        <v>61.667200000000001</v>
      </c>
      <c r="H78" s="124">
        <v>44264</v>
      </c>
      <c r="I78" s="127">
        <v>44260</v>
      </c>
      <c r="J78" s="241">
        <f t="shared" si="12"/>
        <v>4</v>
      </c>
      <c r="K78" s="122">
        <f t="shared" si="16"/>
        <v>623.30122400000005</v>
      </c>
      <c r="L78" s="362">
        <f t="shared" si="13"/>
        <v>9.35E-2</v>
      </c>
      <c r="M78" s="342">
        <f t="shared" si="17"/>
        <v>0</v>
      </c>
    </row>
    <row r="79" spans="1:13" ht="16.5" customHeight="1" x14ac:dyDescent="0.25">
      <c r="A79" s="279">
        <v>5082</v>
      </c>
      <c r="B79" s="156">
        <v>1</v>
      </c>
      <c r="C79" s="157" t="s">
        <v>80</v>
      </c>
      <c r="D79" s="122">
        <v>1912.14</v>
      </c>
      <c r="E79" s="123">
        <f t="shared" si="18"/>
        <v>1912.14</v>
      </c>
      <c r="F79" s="122">
        <f t="shared" si="14"/>
        <v>0</v>
      </c>
      <c r="G79" s="122">
        <f t="shared" si="15"/>
        <v>152.97120000000001</v>
      </c>
      <c r="H79" s="124">
        <v>44264</v>
      </c>
      <c r="I79" s="127">
        <v>44260</v>
      </c>
      <c r="J79" s="241">
        <f t="shared" si="12"/>
        <v>4</v>
      </c>
      <c r="K79" s="122">
        <f t="shared" si="16"/>
        <v>1546.1564040000001</v>
      </c>
      <c r="L79" s="362">
        <f t="shared" si="13"/>
        <v>9.35E-2</v>
      </c>
      <c r="M79" s="342">
        <f t="shared" si="17"/>
        <v>0</v>
      </c>
    </row>
    <row r="80" spans="1:13" ht="16.5" customHeight="1" x14ac:dyDescent="0.25">
      <c r="A80" s="279">
        <v>5130</v>
      </c>
      <c r="B80" s="156">
        <v>1</v>
      </c>
      <c r="C80" s="157" t="s">
        <v>81</v>
      </c>
      <c r="D80" s="122">
        <v>822.11</v>
      </c>
      <c r="E80" s="123">
        <f t="shared" si="18"/>
        <v>822.11</v>
      </c>
      <c r="F80" s="122">
        <f t="shared" si="14"/>
        <v>0</v>
      </c>
      <c r="G80" s="122">
        <f t="shared" si="15"/>
        <v>65.768799999999999</v>
      </c>
      <c r="H80" s="124">
        <v>44264</v>
      </c>
      <c r="I80" s="127">
        <v>44260</v>
      </c>
      <c r="J80" s="241">
        <f t="shared" si="12"/>
        <v>4</v>
      </c>
      <c r="K80" s="122">
        <f t="shared" si="16"/>
        <v>664.75814600000001</v>
      </c>
      <c r="L80" s="362">
        <f t="shared" si="13"/>
        <v>9.35E-2</v>
      </c>
      <c r="M80" s="342">
        <f t="shared" si="17"/>
        <v>0</v>
      </c>
    </row>
    <row r="81" spans="1:13" ht="16.5" customHeight="1" x14ac:dyDescent="0.25">
      <c r="A81" s="279">
        <v>5095</v>
      </c>
      <c r="B81" s="156">
        <v>1</v>
      </c>
      <c r="C81" s="157" t="s">
        <v>82</v>
      </c>
      <c r="D81" s="122">
        <v>1533.01</v>
      </c>
      <c r="E81" s="123">
        <f t="shared" si="18"/>
        <v>1533.01</v>
      </c>
      <c r="F81" s="122">
        <f t="shared" si="14"/>
        <v>0</v>
      </c>
      <c r="G81" s="122">
        <f t="shared" si="15"/>
        <v>122.6408</v>
      </c>
      <c r="H81" s="124">
        <v>44264</v>
      </c>
      <c r="I81" s="127">
        <v>44260</v>
      </c>
      <c r="J81" s="241">
        <f t="shared" si="12"/>
        <v>4</v>
      </c>
      <c r="K81" s="122">
        <f t="shared" si="16"/>
        <v>1239.5918859999999</v>
      </c>
      <c r="L81" s="362">
        <f t="shared" si="13"/>
        <v>9.35E-2</v>
      </c>
      <c r="M81" s="342">
        <f t="shared" si="17"/>
        <v>0</v>
      </c>
    </row>
    <row r="82" spans="1:13" ht="16.5" customHeight="1" x14ac:dyDescent="0.25">
      <c r="A82" s="279">
        <v>4945</v>
      </c>
      <c r="B82" s="156">
        <v>1</v>
      </c>
      <c r="C82" s="157" t="s">
        <v>84</v>
      </c>
      <c r="D82" s="122">
        <v>51.8</v>
      </c>
      <c r="E82" s="123">
        <f t="shared" si="18"/>
        <v>51.8</v>
      </c>
      <c r="F82" s="122">
        <f t="shared" si="14"/>
        <v>0</v>
      </c>
      <c r="G82" s="122">
        <f t="shared" si="15"/>
        <v>4.1440000000000001</v>
      </c>
      <c r="H82" s="124">
        <v>44264</v>
      </c>
      <c r="I82" s="127">
        <v>44260</v>
      </c>
      <c r="J82" s="241">
        <f t="shared" si="12"/>
        <v>4</v>
      </c>
      <c r="K82" s="122">
        <f t="shared" si="16"/>
        <v>41.885479999999994</v>
      </c>
      <c r="L82" s="362">
        <f>L81</f>
        <v>9.35E-2</v>
      </c>
      <c r="M82" s="342">
        <f t="shared" si="17"/>
        <v>0</v>
      </c>
    </row>
    <row r="83" spans="1:13" ht="16.5" customHeight="1" x14ac:dyDescent="0.25">
      <c r="A83" s="279">
        <v>663</v>
      </c>
      <c r="B83" s="156">
        <v>1</v>
      </c>
      <c r="C83" s="157" t="s">
        <v>85</v>
      </c>
      <c r="D83" s="122">
        <v>5.96</v>
      </c>
      <c r="E83" s="123">
        <f t="shared" si="18"/>
        <v>5.96</v>
      </c>
      <c r="F83" s="122">
        <f t="shared" si="14"/>
        <v>0</v>
      </c>
      <c r="G83" s="122">
        <f t="shared" si="15"/>
        <v>0.4768</v>
      </c>
      <c r="H83" s="124">
        <v>44264</v>
      </c>
      <c r="I83" s="127">
        <v>44260</v>
      </c>
      <c r="J83" s="241">
        <f t="shared" si="12"/>
        <v>4</v>
      </c>
      <c r="K83" s="122">
        <f t="shared" si="16"/>
        <v>4.8192560000000002</v>
      </c>
      <c r="L83" s="362">
        <f t="shared" si="13"/>
        <v>9.35E-2</v>
      </c>
      <c r="M83" s="342">
        <f t="shared" si="17"/>
        <v>0</v>
      </c>
    </row>
    <row r="84" spans="1:13" ht="16.5" customHeight="1" x14ac:dyDescent="0.25">
      <c r="A84" s="279">
        <v>4783</v>
      </c>
      <c r="B84" s="156">
        <v>1</v>
      </c>
      <c r="C84" s="157" t="s">
        <v>87</v>
      </c>
      <c r="D84" s="122">
        <v>0.72</v>
      </c>
      <c r="E84" s="123">
        <f t="shared" si="18"/>
        <v>0.72</v>
      </c>
      <c r="F84" s="122">
        <f t="shared" si="14"/>
        <v>0</v>
      </c>
      <c r="G84" s="122">
        <f t="shared" si="15"/>
        <v>5.7599999999999998E-2</v>
      </c>
      <c r="H84" s="124">
        <v>44264</v>
      </c>
      <c r="I84" s="127">
        <v>44260</v>
      </c>
      <c r="J84" s="241">
        <f t="shared" si="12"/>
        <v>4</v>
      </c>
      <c r="K84" s="122">
        <f t="shared" si="16"/>
        <v>0.58219199999999993</v>
      </c>
      <c r="L84" s="362">
        <f>L83</f>
        <v>9.35E-2</v>
      </c>
      <c r="M84" s="342">
        <f t="shared" si="17"/>
        <v>0</v>
      </c>
    </row>
    <row r="85" spans="1:13" ht="16.5" customHeight="1" x14ac:dyDescent="0.25">
      <c r="A85" s="279">
        <v>4535</v>
      </c>
      <c r="B85" s="156">
        <v>1</v>
      </c>
      <c r="C85" s="157" t="s">
        <v>88</v>
      </c>
      <c r="D85" s="122">
        <v>102.54</v>
      </c>
      <c r="E85" s="123">
        <f t="shared" si="18"/>
        <v>102.54</v>
      </c>
      <c r="F85" s="122">
        <f t="shared" si="14"/>
        <v>0</v>
      </c>
      <c r="G85" s="122">
        <f t="shared" si="15"/>
        <v>8.2032000000000007</v>
      </c>
      <c r="H85" s="124">
        <v>44292</v>
      </c>
      <c r="I85" s="127">
        <v>44260</v>
      </c>
      <c r="J85" s="241">
        <f t="shared" si="12"/>
        <v>32</v>
      </c>
      <c r="K85" s="122">
        <f t="shared" si="16"/>
        <v>82.913843999999997</v>
      </c>
      <c r="L85" s="362">
        <f t="shared" si="13"/>
        <v>9.35E-2</v>
      </c>
      <c r="M85" s="342">
        <f t="shared" si="17"/>
        <v>0</v>
      </c>
    </row>
    <row r="86" spans="1:13" ht="16.5" customHeight="1" x14ac:dyDescent="0.25">
      <c r="A86" s="279">
        <v>4594</v>
      </c>
      <c r="B86" s="156">
        <v>1</v>
      </c>
      <c r="C86" s="157" t="s">
        <v>89</v>
      </c>
      <c r="D86" s="122">
        <v>54.92</v>
      </c>
      <c r="E86" s="123">
        <f t="shared" si="18"/>
        <v>54.92</v>
      </c>
      <c r="F86" s="122">
        <f t="shared" si="14"/>
        <v>0</v>
      </c>
      <c r="G86" s="122">
        <f t="shared" si="15"/>
        <v>4.3936000000000002</v>
      </c>
      <c r="H86" s="124">
        <v>44264</v>
      </c>
      <c r="I86" s="127">
        <v>44260</v>
      </c>
      <c r="J86" s="241">
        <f t="shared" si="12"/>
        <v>4</v>
      </c>
      <c r="K86" s="122">
        <f t="shared" si="16"/>
        <v>44.408312000000002</v>
      </c>
      <c r="L86" s="362">
        <f t="shared" si="13"/>
        <v>9.35E-2</v>
      </c>
      <c r="M86" s="342">
        <f t="shared" si="17"/>
        <v>0</v>
      </c>
    </row>
    <row r="87" spans="1:13" ht="16.5" customHeight="1" x14ac:dyDescent="0.25">
      <c r="A87" s="279">
        <v>710</v>
      </c>
      <c r="B87" s="156">
        <v>1</v>
      </c>
      <c r="C87" s="157" t="s">
        <v>90</v>
      </c>
      <c r="D87" s="122">
        <v>6.65</v>
      </c>
      <c r="E87" s="123">
        <f t="shared" si="18"/>
        <v>6.65</v>
      </c>
      <c r="F87" s="122">
        <f t="shared" si="14"/>
        <v>0</v>
      </c>
      <c r="G87" s="122">
        <f t="shared" si="15"/>
        <v>0.53200000000000003</v>
      </c>
      <c r="H87" s="124">
        <v>44264</v>
      </c>
      <c r="I87" s="127">
        <v>44260</v>
      </c>
      <c r="J87" s="241">
        <f t="shared" si="12"/>
        <v>4</v>
      </c>
      <c r="K87" s="122">
        <f t="shared" si="16"/>
        <v>5.3771899999999997</v>
      </c>
      <c r="L87" s="362">
        <f t="shared" si="13"/>
        <v>9.35E-2</v>
      </c>
      <c r="M87" s="342">
        <f t="shared" si="17"/>
        <v>0</v>
      </c>
    </row>
    <row r="88" spans="1:13" ht="16.5" customHeight="1" x14ac:dyDescent="0.25">
      <c r="A88" s="279">
        <v>4976</v>
      </c>
      <c r="B88" s="156">
        <v>1</v>
      </c>
      <c r="C88" s="157" t="s">
        <v>91</v>
      </c>
      <c r="D88" s="122">
        <v>2.84</v>
      </c>
      <c r="E88" s="123">
        <f t="shared" si="18"/>
        <v>2.84</v>
      </c>
      <c r="F88" s="122">
        <f t="shared" si="14"/>
        <v>0</v>
      </c>
      <c r="G88" s="122">
        <f t="shared" si="15"/>
        <v>0.22719999999999999</v>
      </c>
      <c r="H88" s="124">
        <v>44264</v>
      </c>
      <c r="I88" s="127">
        <v>44260</v>
      </c>
      <c r="J88" s="241">
        <f t="shared" si="12"/>
        <v>4</v>
      </c>
      <c r="K88" s="122">
        <f t="shared" si="16"/>
        <v>2.296424</v>
      </c>
      <c r="L88" s="362">
        <f t="shared" si="13"/>
        <v>9.35E-2</v>
      </c>
      <c r="M88" s="342">
        <f t="shared" si="17"/>
        <v>0</v>
      </c>
    </row>
    <row r="89" spans="1:13" ht="16.5" customHeight="1" x14ac:dyDescent="0.25">
      <c r="A89" s="279">
        <v>4935</v>
      </c>
      <c r="B89" s="156">
        <v>1</v>
      </c>
      <c r="C89" s="157" t="s">
        <v>93</v>
      </c>
      <c r="D89" s="122">
        <v>51.27</v>
      </c>
      <c r="E89" s="123">
        <f t="shared" si="18"/>
        <v>51.27</v>
      </c>
      <c r="F89" s="122">
        <f t="shared" si="14"/>
        <v>0</v>
      </c>
      <c r="G89" s="122">
        <f t="shared" si="15"/>
        <v>4.1016000000000004</v>
      </c>
      <c r="H89" s="124">
        <v>44264</v>
      </c>
      <c r="I89" s="127">
        <v>44260</v>
      </c>
      <c r="J89" s="241">
        <f t="shared" si="12"/>
        <v>4</v>
      </c>
      <c r="K89" s="122">
        <f t="shared" si="16"/>
        <v>41.456921999999999</v>
      </c>
      <c r="L89" s="362">
        <f>L5</f>
        <v>9.35E-2</v>
      </c>
      <c r="M89" s="342">
        <f t="shared" si="17"/>
        <v>0</v>
      </c>
    </row>
    <row r="90" spans="1:13" ht="16.5" customHeight="1" x14ac:dyDescent="0.25">
      <c r="A90" s="279">
        <v>5096</v>
      </c>
      <c r="B90" s="156">
        <v>1</v>
      </c>
      <c r="C90" s="157" t="s">
        <v>94</v>
      </c>
      <c r="D90" s="122">
        <v>2738.71</v>
      </c>
      <c r="E90" s="123">
        <f t="shared" si="18"/>
        <v>2738.71</v>
      </c>
      <c r="F90" s="122">
        <f t="shared" si="14"/>
        <v>0</v>
      </c>
      <c r="G90" s="122">
        <f t="shared" si="15"/>
        <v>219.0968</v>
      </c>
      <c r="H90" s="124">
        <v>44271</v>
      </c>
      <c r="I90" s="127">
        <v>44260</v>
      </c>
      <c r="J90" s="241">
        <f t="shared" si="12"/>
        <v>11</v>
      </c>
      <c r="K90" s="122">
        <f t="shared" si="16"/>
        <v>2214.5209059999997</v>
      </c>
      <c r="L90" s="362">
        <f t="shared" si="13"/>
        <v>9.35E-2</v>
      </c>
      <c r="M90" s="342">
        <f t="shared" si="17"/>
        <v>0</v>
      </c>
    </row>
    <row r="91" spans="1:13" ht="16.5" customHeight="1" x14ac:dyDescent="0.25">
      <c r="A91" s="279">
        <v>5081</v>
      </c>
      <c r="B91" s="156">
        <v>1</v>
      </c>
      <c r="C91" s="157" t="s">
        <v>95</v>
      </c>
      <c r="D91" s="122">
        <v>1533.01</v>
      </c>
      <c r="E91" s="123">
        <f t="shared" si="18"/>
        <v>1533.01</v>
      </c>
      <c r="F91" s="122">
        <f t="shared" si="14"/>
        <v>0</v>
      </c>
      <c r="G91" s="122">
        <f t="shared" si="15"/>
        <v>122.6408</v>
      </c>
      <c r="H91" s="124">
        <v>44264</v>
      </c>
      <c r="I91" s="127">
        <v>44260</v>
      </c>
      <c r="J91" s="241">
        <f t="shared" si="12"/>
        <v>4</v>
      </c>
      <c r="K91" s="122">
        <f t="shared" si="16"/>
        <v>1239.5918859999999</v>
      </c>
      <c r="L91" s="362">
        <f t="shared" si="13"/>
        <v>9.35E-2</v>
      </c>
      <c r="M91" s="342">
        <f t="shared" si="17"/>
        <v>0</v>
      </c>
    </row>
    <row r="92" spans="1:13" ht="16.5" customHeight="1" x14ac:dyDescent="0.25">
      <c r="A92" s="279">
        <v>2003</v>
      </c>
      <c r="B92" s="156">
        <v>1</v>
      </c>
      <c r="C92" s="158" t="s">
        <v>15</v>
      </c>
      <c r="D92" s="122">
        <v>5.62</v>
      </c>
      <c r="E92" s="123">
        <f>ROUND(D92*B92,2)</f>
        <v>5.62</v>
      </c>
      <c r="F92" s="122">
        <f>D92-E92</f>
        <v>0</v>
      </c>
      <c r="G92" s="122">
        <f t="shared" si="15"/>
        <v>0.4496</v>
      </c>
      <c r="H92" s="124">
        <v>44264</v>
      </c>
      <c r="I92" s="127">
        <v>44260</v>
      </c>
      <c r="J92" s="241">
        <f t="shared" si="12"/>
        <v>4</v>
      </c>
      <c r="K92" s="122">
        <f t="shared" si="16"/>
        <v>4.5443319999999998</v>
      </c>
      <c r="L92" s="362">
        <f t="shared" si="13"/>
        <v>9.35E-2</v>
      </c>
      <c r="M92" s="342">
        <f t="shared" si="17"/>
        <v>0</v>
      </c>
    </row>
    <row r="93" spans="1:13" ht="16.5" customHeight="1" x14ac:dyDescent="0.25">
      <c r="A93" s="279">
        <v>4862</v>
      </c>
      <c r="B93" s="156">
        <v>1</v>
      </c>
      <c r="C93" s="157" t="s">
        <v>96</v>
      </c>
      <c r="D93" s="122">
        <v>0.53</v>
      </c>
      <c r="E93" s="123">
        <f t="shared" si="18"/>
        <v>0.53</v>
      </c>
      <c r="F93" s="122">
        <f t="shared" si="14"/>
        <v>0</v>
      </c>
      <c r="G93" s="122">
        <f t="shared" si="15"/>
        <v>4.24E-2</v>
      </c>
      <c r="H93" s="124">
        <v>44264</v>
      </c>
      <c r="I93" s="127">
        <v>44260</v>
      </c>
      <c r="J93" s="241">
        <f t="shared" si="12"/>
        <v>4</v>
      </c>
      <c r="K93" s="122">
        <f t="shared" si="16"/>
        <v>0.42855800000000005</v>
      </c>
      <c r="L93" s="362">
        <f t="shared" si="13"/>
        <v>9.35E-2</v>
      </c>
      <c r="M93" s="342">
        <f t="shared" si="17"/>
        <v>0</v>
      </c>
    </row>
    <row r="94" spans="1:13" ht="16.5" customHeight="1" x14ac:dyDescent="0.25">
      <c r="A94" s="279">
        <v>5011</v>
      </c>
      <c r="B94" s="156">
        <v>1</v>
      </c>
      <c r="C94" s="157" t="s">
        <v>98</v>
      </c>
      <c r="D94" s="122">
        <v>2275.14</v>
      </c>
      <c r="E94" s="123">
        <f t="shared" si="18"/>
        <v>2275.14</v>
      </c>
      <c r="F94" s="122">
        <f t="shared" si="14"/>
        <v>0</v>
      </c>
      <c r="G94" s="122">
        <f t="shared" si="15"/>
        <v>182.0112</v>
      </c>
      <c r="H94" s="124">
        <v>44292</v>
      </c>
      <c r="I94" s="127">
        <v>44260</v>
      </c>
      <c r="J94" s="241">
        <f t="shared" ref="J94:J97" si="19">H94-I94</f>
        <v>32</v>
      </c>
      <c r="K94" s="122">
        <f t="shared" si="16"/>
        <v>1839.6782039999998</v>
      </c>
      <c r="L94" s="362">
        <f>L93</f>
        <v>9.35E-2</v>
      </c>
      <c r="M94" s="342">
        <f t="shared" ref="M94:M97" si="20">SUM(F94)*L94</f>
        <v>0</v>
      </c>
    </row>
    <row r="95" spans="1:13" ht="16.5" customHeight="1" x14ac:dyDescent="0.25">
      <c r="A95" s="279">
        <v>5098</v>
      </c>
      <c r="B95" s="156">
        <v>1</v>
      </c>
      <c r="C95" s="157" t="s">
        <v>99</v>
      </c>
      <c r="D95" s="122">
        <v>1533.01</v>
      </c>
      <c r="E95" s="123">
        <f t="shared" si="18"/>
        <v>1533.01</v>
      </c>
      <c r="F95" s="122">
        <f t="shared" si="14"/>
        <v>0</v>
      </c>
      <c r="G95" s="122">
        <f t="shared" si="15"/>
        <v>122.6408</v>
      </c>
      <c r="H95" s="124">
        <v>44264</v>
      </c>
      <c r="I95" s="127">
        <v>44260</v>
      </c>
      <c r="J95" s="241">
        <f t="shared" si="19"/>
        <v>4</v>
      </c>
      <c r="K95" s="122">
        <f t="shared" si="16"/>
        <v>1239.5918859999999</v>
      </c>
      <c r="L95" s="362">
        <f t="shared" ref="L95:L97" si="21">L94</f>
        <v>9.35E-2</v>
      </c>
      <c r="M95" s="342">
        <f t="shared" si="20"/>
        <v>0</v>
      </c>
    </row>
    <row r="96" spans="1:13" ht="16.5" customHeight="1" x14ac:dyDescent="0.25">
      <c r="A96" s="279">
        <v>5060</v>
      </c>
      <c r="B96" s="156">
        <v>1</v>
      </c>
      <c r="C96" s="157" t="s">
        <v>100</v>
      </c>
      <c r="D96" s="122">
        <v>1494.29</v>
      </c>
      <c r="E96" s="123">
        <f t="shared" si="18"/>
        <v>1494.29</v>
      </c>
      <c r="F96" s="122">
        <f t="shared" si="14"/>
        <v>0</v>
      </c>
      <c r="G96" s="122">
        <f t="shared" si="15"/>
        <v>119.5432</v>
      </c>
      <c r="H96" s="124">
        <v>44264</v>
      </c>
      <c r="I96" s="127">
        <v>44260</v>
      </c>
      <c r="J96" s="241">
        <f t="shared" si="19"/>
        <v>4</v>
      </c>
      <c r="K96" s="122">
        <f t="shared" si="16"/>
        <v>1208.2828939999999</v>
      </c>
      <c r="L96" s="362">
        <f t="shared" si="21"/>
        <v>9.35E-2</v>
      </c>
      <c r="M96" s="342">
        <f t="shared" si="20"/>
        <v>0</v>
      </c>
    </row>
    <row r="97" spans="1:13" ht="16.5" customHeight="1" x14ac:dyDescent="0.25">
      <c r="A97" s="279">
        <v>4999</v>
      </c>
      <c r="B97" s="156">
        <v>1</v>
      </c>
      <c r="C97" s="157" t="s">
        <v>101</v>
      </c>
      <c r="D97" s="122">
        <v>3.07</v>
      </c>
      <c r="E97" s="123">
        <f t="shared" si="18"/>
        <v>3.07</v>
      </c>
      <c r="F97" s="122">
        <f t="shared" si="14"/>
        <v>0</v>
      </c>
      <c r="G97" s="122">
        <f t="shared" si="15"/>
        <v>0.24559999999999998</v>
      </c>
      <c r="H97" s="124">
        <v>44264</v>
      </c>
      <c r="I97" s="127">
        <v>44260</v>
      </c>
      <c r="J97" s="241">
        <f t="shared" si="19"/>
        <v>4</v>
      </c>
      <c r="K97" s="122">
        <f t="shared" si="16"/>
        <v>2.482402</v>
      </c>
      <c r="L97" s="362">
        <f t="shared" si="21"/>
        <v>9.35E-2</v>
      </c>
      <c r="M97" s="342">
        <f t="shared" si="20"/>
        <v>0</v>
      </c>
    </row>
    <row r="98" spans="1:13" ht="16.5" customHeight="1" x14ac:dyDescent="0.25">
      <c r="A98" s="279"/>
      <c r="B98" s="159"/>
      <c r="C98" s="49" t="s">
        <v>162</v>
      </c>
      <c r="D98" s="48">
        <f>SUM(D35:D97)</f>
        <v>41634.560000000005</v>
      </c>
      <c r="E98" s="48">
        <f>SUBTOTAL(9,E35:E97)</f>
        <v>41634.560000000005</v>
      </c>
      <c r="F98" s="48">
        <f>SUM(F35:F97)</f>
        <v>0</v>
      </c>
      <c r="G98" s="48">
        <f>SUM(G35:G97)</f>
        <v>3330.7647999999995</v>
      </c>
      <c r="H98" s="130"/>
      <c r="I98" s="130"/>
      <c r="J98" s="130"/>
      <c r="K98" s="48">
        <f>SUM(K35:K97)</f>
        <v>33665.705215999995</v>
      </c>
      <c r="L98" s="343">
        <v>0</v>
      </c>
      <c r="M98" s="399">
        <f>SUM(M35:M97)</f>
        <v>0</v>
      </c>
    </row>
    <row r="99" spans="1:13" s="143" customFormat="1" ht="17.25" customHeight="1" x14ac:dyDescent="0.25">
      <c r="A99" s="282"/>
      <c r="B99" s="161"/>
      <c r="C99" s="162" t="s">
        <v>103</v>
      </c>
      <c r="D99" s="55">
        <f>SUM(D98+D34+D17)</f>
        <v>117571.13</v>
      </c>
      <c r="E99" s="55">
        <f>SUM(E98+E34+E17)</f>
        <v>95227.02</v>
      </c>
      <c r="F99" s="55">
        <f>SUM(F98+F34+F17)</f>
        <v>22344.11</v>
      </c>
      <c r="G99" s="229">
        <f t="shared" si="15"/>
        <v>9405.6904000000013</v>
      </c>
      <c r="H99" s="136"/>
      <c r="I99" s="136"/>
      <c r="J99" s="136"/>
      <c r="K99" s="136">
        <f>SUM(K98+K34+K17)</f>
        <v>95068.015717999995</v>
      </c>
      <c r="L99" s="345"/>
      <c r="M99" s="400">
        <f>SUM(M98+M34+M17)</f>
        <v>2089.1742850000001</v>
      </c>
    </row>
    <row r="101" spans="1:13" x14ac:dyDescent="0.25">
      <c r="C101" s="97"/>
      <c r="D101" s="97"/>
      <c r="E101" s="97"/>
      <c r="F101" s="97"/>
      <c r="G101" s="97"/>
      <c r="H101" s="144"/>
      <c r="I101" s="144"/>
      <c r="J101" s="144"/>
      <c r="K101" s="144"/>
      <c r="L101" s="144"/>
      <c r="M101" s="144"/>
    </row>
    <row r="102" spans="1:13" x14ac:dyDescent="0.25">
      <c r="C102" s="97"/>
      <c r="D102" s="97"/>
      <c r="E102" s="97"/>
      <c r="F102" s="97"/>
      <c r="G102" s="97"/>
      <c r="H102" s="142"/>
      <c r="I102" s="142"/>
      <c r="J102" s="142"/>
      <c r="K102" s="142"/>
      <c r="L102" s="142"/>
      <c r="M102" s="142"/>
    </row>
    <row r="103" spans="1:13" x14ac:dyDescent="0.25">
      <c r="C103" s="97"/>
      <c r="D103" s="97"/>
      <c r="E103" s="97"/>
      <c r="F103" s="97"/>
      <c r="G103" s="97"/>
      <c r="H103" s="99"/>
      <c r="I103" s="99"/>
      <c r="J103" s="99"/>
      <c r="K103" s="99"/>
      <c r="L103" s="99"/>
      <c r="M103" s="99"/>
    </row>
    <row r="104" spans="1:13" x14ac:dyDescent="0.25">
      <c r="C104" s="97"/>
      <c r="D104" s="97"/>
      <c r="E104" s="97"/>
      <c r="F104" s="97"/>
      <c r="G104" s="97"/>
    </row>
    <row r="105" spans="1:13" x14ac:dyDescent="0.25">
      <c r="C105" s="97"/>
      <c r="D105" s="97"/>
      <c r="E105" s="97"/>
      <c r="F105" s="97"/>
      <c r="G105" s="97"/>
    </row>
    <row r="106" spans="1:13" x14ac:dyDescent="0.25">
      <c r="C106" s="97"/>
      <c r="D106" s="97"/>
      <c r="E106" s="97"/>
      <c r="F106" s="97"/>
      <c r="G106" s="97"/>
    </row>
    <row r="107" spans="1:13" x14ac:dyDescent="0.25">
      <c r="C107" s="97"/>
      <c r="D107" s="97"/>
      <c r="E107" s="97"/>
      <c r="F107" s="97"/>
      <c r="G107" s="97"/>
    </row>
    <row r="108" spans="1:13" x14ac:dyDescent="0.25">
      <c r="C108" s="97"/>
      <c r="D108" s="97"/>
      <c r="E108" s="97"/>
      <c r="F108" s="97"/>
      <c r="G108" s="97"/>
    </row>
  </sheetData>
  <autoFilter ref="A4:M98" xr:uid="{00000000-0009-0000-0000-000000000000}"/>
  <pageMargins left="0.51181102362204722" right="0.51181102362204722" top="0.47244094488188981" bottom="0.47244094488188981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26</vt:i4>
      </vt:variant>
      <vt:variant>
        <vt:lpstr>Intervalos Nomeados</vt:lpstr>
      </vt:variant>
      <vt:variant>
        <vt:i4>2</vt:i4>
      </vt:variant>
    </vt:vector>
  </HeadingPairs>
  <TitlesOfParts>
    <vt:vector size="28" baseType="lpstr">
      <vt:lpstr>cálculo (2)</vt:lpstr>
      <vt:lpstr>Direito</vt:lpstr>
      <vt:lpstr>H.A Duração</vt:lpstr>
      <vt:lpstr>RESUMO DE CÁLCULO</vt:lpstr>
      <vt:lpstr>13º SALÁRIO 2020</vt:lpstr>
      <vt:lpstr>Salário 12-2020</vt:lpstr>
      <vt:lpstr>Pagamento 01-2021</vt:lpstr>
      <vt:lpstr>salário 01-2021  terço férias</vt:lpstr>
      <vt:lpstr>salário 02-2021</vt:lpstr>
      <vt:lpstr>salário 03-2021</vt:lpstr>
      <vt:lpstr>salário 04-2021</vt:lpstr>
      <vt:lpstr>salário 05-2021</vt:lpstr>
      <vt:lpstr>salário 06-2021</vt:lpstr>
      <vt:lpstr>salário 07-2021</vt:lpstr>
      <vt:lpstr>salário 08-2021</vt:lpstr>
      <vt:lpstr>salário 09-2021</vt:lpstr>
      <vt:lpstr>salário 10-2021</vt:lpstr>
      <vt:lpstr>salário 11-2021</vt:lpstr>
      <vt:lpstr>salário 12-2021</vt:lpstr>
      <vt:lpstr>Salário 13ª primeira parcela</vt:lpstr>
      <vt:lpstr>Salário 13º segunda parcela</vt:lpstr>
      <vt:lpstr>Salário 01-2022  terço férias</vt:lpstr>
      <vt:lpstr>Salário de 02-2022</vt:lpstr>
      <vt:lpstr>Salário de 03-2022 </vt:lpstr>
      <vt:lpstr>salário de 04-2022  </vt:lpstr>
      <vt:lpstr>dano moral </vt:lpstr>
      <vt:lpstr>'RESUMO DE CÁLCULO'!Area_de_impressao</vt:lpstr>
      <vt:lpstr>'13º SALÁRIO 2020'!Titulos_de_impressao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Simpes</dc:creator>
  <cp:lastModifiedBy>Simpes</cp:lastModifiedBy>
  <cp:lastPrinted>2022-06-24T13:24:07Z</cp:lastPrinted>
  <dcterms:created xsi:type="dcterms:W3CDTF">2021-10-26T18:10:46Z</dcterms:created>
  <dcterms:modified xsi:type="dcterms:W3CDTF">2022-09-14T18:56:39Z</dcterms:modified>
</cp:coreProperties>
</file>